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romebooks-all-zipso-xls" sheetId="1" r:id="rId1"/>
  </sheets>
  <definedNames/>
  <calcPr fullCalcOnLoad="1"/>
</workbook>
</file>

<file path=xl/sharedStrings.xml><?xml version="1.0" encoding="utf-8"?>
<sst xmlns="http://schemas.openxmlformats.org/spreadsheetml/2006/main" count="7130" uniqueCount="465">
  <si>
    <t>Year</t>
  </si>
  <si>
    <t>Month</t>
  </si>
  <si>
    <t>Brand</t>
  </si>
  <si>
    <t>Name</t>
  </si>
  <si>
    <t>Screen</t>
  </si>
  <si>
    <t>Resolution</t>
  </si>
  <si>
    <t>CPU model</t>
  </si>
  <si>
    <t>CPU speed</t>
  </si>
  <si>
    <t>Cores</t>
  </si>
  <si>
    <t>Pass Mark</t>
  </si>
  <si>
    <t>GkBench mul</t>
  </si>
  <si>
    <t>GkBench sng</t>
  </si>
  <si>
    <t>Octane</t>
  </si>
  <si>
    <t>Memory</t>
  </si>
  <si>
    <t>Storage</t>
  </si>
  <si>
    <t>Battery</t>
  </si>
  <si>
    <t>Weight lb</t>
  </si>
  <si>
    <t>Weight kg</t>
  </si>
  <si>
    <t>IPS</t>
  </si>
  <si>
    <t>Touchscreen</t>
  </si>
  <si>
    <t>Android</t>
  </si>
  <si>
    <t>Stylus</t>
  </si>
  <si>
    <t>Mar</t>
  </si>
  <si>
    <t>Acer</t>
  </si>
  <si>
    <t>12"</t>
  </si>
  <si>
    <t>1366x912</t>
  </si>
  <si>
    <t>n/a</t>
  </si>
  <si>
    <t>4-8 GB</t>
  </si>
  <si>
    <t>32-64 GB</t>
  </si>
  <si>
    <t>12 hr</t>
  </si>
  <si>
    <t>yes</t>
  </si>
  <si>
    <t>no</t>
  </si>
  <si>
    <t>ASUS</t>
  </si>
  <si>
    <t>14"</t>
  </si>
  <si>
    <t>1920x1080</t>
  </si>
  <si>
    <t>Intel Core i3 10110U</t>
  </si>
  <si>
    <t>2.1 GHz</t>
  </si>
  <si>
    <t>35800*</t>
  </si>
  <si>
    <t>8-16 GB</t>
  </si>
  <si>
    <t>128-512 GB</t>
  </si>
  <si>
    <t>2.42 lb</t>
  </si>
  <si>
    <t>1.1 kg</t>
  </si>
  <si>
    <t>Intel Core i5 10210U</t>
  </si>
  <si>
    <t>1.6 GHz</t>
  </si>
  <si>
    <t>Intel Core i7 10510U</t>
  </si>
  <si>
    <t>1.8 GHz</t>
  </si>
  <si>
    <t>Feb</t>
  </si>
  <si>
    <t>CTL</t>
  </si>
  <si>
    <t>11.6"</t>
  </si>
  <si>
    <t>1366x768</t>
  </si>
  <si>
    <t>Intel Celeron N4020</t>
  </si>
  <si>
    <t>1.1 GHz</t>
  </si>
  <si>
    <t>4 GB</t>
  </si>
  <si>
    <t>32 GB</t>
  </si>
  <si>
    <t>2.5 lb</t>
  </si>
  <si>
    <t>1.13 kg</t>
  </si>
  <si>
    <t>2.45 lb</t>
  </si>
  <si>
    <t>1.11 kg</t>
  </si>
  <si>
    <t>2.8 lb</t>
  </si>
  <si>
    <t>1.27 kg</t>
  </si>
  <si>
    <t>Intel Celeron N4120</t>
  </si>
  <si>
    <t>2.85 lb</t>
  </si>
  <si>
    <t>1.29 kg</t>
  </si>
  <si>
    <t>Jan</t>
  </si>
  <si>
    <t>HP</t>
  </si>
  <si>
    <t>16850*</t>
  </si>
  <si>
    <t>16-64 GB</t>
  </si>
  <si>
    <t>13.5 hr</t>
  </si>
  <si>
    <t>2.91 lb</t>
  </si>
  <si>
    <t>1.32 kg</t>
  </si>
  <si>
    <t>17100*</t>
  </si>
  <si>
    <t>AMD A6-9220C</t>
  </si>
  <si>
    <t>?-8 GB</t>
  </si>
  <si>
    <t>16-32 GB</t>
  </si>
  <si>
    <t>10 hr</t>
  </si>
  <si>
    <t>3.02 lb</t>
  </si>
  <si>
    <t>1.37 kg</t>
  </si>
  <si>
    <t>3.39 lb</t>
  </si>
  <si>
    <t>1.54 kg</t>
  </si>
  <si>
    <t>32-128 GB</t>
  </si>
  <si>
    <t>13 hr</t>
  </si>
  <si>
    <t>3.19 lb</t>
  </si>
  <si>
    <t>1.45 kg</t>
  </si>
  <si>
    <t>May</t>
  </si>
  <si>
    <t>Lenovo</t>
  </si>
  <si>
    <t>10.2"</t>
  </si>
  <si>
    <t>1920x1200</t>
  </si>
  <si>
    <t>MediaTek Helio P60T</t>
  </si>
  <si>
    <t>2.0 GHz</t>
  </si>
  <si>
    <t>64-128 GB</t>
  </si>
  <si>
    <t>2.03 lb</t>
  </si>
  <si>
    <t>0.92 kg</t>
  </si>
  <si>
    <t>Jun</t>
  </si>
  <si>
    <t>13.3"</t>
  </si>
  <si>
    <t>2.97 lb</t>
  </si>
  <si>
    <t>1.35 kg</t>
  </si>
  <si>
    <t>Samsung</t>
  </si>
  <si>
    <t>3840x2160</t>
  </si>
  <si>
    <t>8 GB</t>
  </si>
  <si>
    <t>256 GB</t>
  </si>
  <si>
    <t>9 hr</t>
  </si>
  <si>
    <t>2.29 lb</t>
  </si>
  <si>
    <t>1.04 kg</t>
  </si>
  <si>
    <t>Nov</t>
  </si>
  <si>
    <t>13.5"</t>
  </si>
  <si>
    <t>2256x1504</t>
  </si>
  <si>
    <t>Intel Core i5 8350U</t>
  </si>
  <si>
    <t>1.7 GHz</t>
  </si>
  <si>
    <t>37700*</t>
  </si>
  <si>
    <t>64 GB</t>
  </si>
  <si>
    <t>3.09 lb</t>
  </si>
  <si>
    <t>1.4 kg</t>
  </si>
  <si>
    <t>Sep</t>
  </si>
  <si>
    <t>AMD A4-9120C</t>
  </si>
  <si>
    <t>14000*</t>
  </si>
  <si>
    <t>3.31 lb</t>
  </si>
  <si>
    <t>1.5 kg</t>
  </si>
  <si>
    <t>Intel Celeron N4000</t>
  </si>
  <si>
    <t>16000*</t>
  </si>
  <si>
    <t>2.76 lb</t>
  </si>
  <si>
    <t>1.25 kg</t>
  </si>
  <si>
    <t>Apr</t>
  </si>
  <si>
    <t>Intel Celeron N4100</t>
  </si>
  <si>
    <t>15400*</t>
  </si>
  <si>
    <t>Oct</t>
  </si>
  <si>
    <t>2.34 lb</t>
  </si>
  <si>
    <t>1.06 kg</t>
  </si>
  <si>
    <t>12.5 hr</t>
  </si>
  <si>
    <t>3.75 lb</t>
  </si>
  <si>
    <t>1.7 kg</t>
  </si>
  <si>
    <t>Intel Celeron N4200</t>
  </si>
  <si>
    <t>11500*</t>
  </si>
  <si>
    <t>15.6"</t>
  </si>
  <si>
    <t>3.97 lb</t>
  </si>
  <si>
    <t>1.8 kg</t>
  </si>
  <si>
    <t>Jul</t>
  </si>
  <si>
    <t>Aug</t>
  </si>
  <si>
    <t>Intel Pentium 4417U</t>
  </si>
  <si>
    <t>2.3 GHz</t>
  </si>
  <si>
    <t>3.53 lb</t>
  </si>
  <si>
    <t>1.6 kg</t>
  </si>
  <si>
    <t>Intel Core i3 8130U</t>
  </si>
  <si>
    <t>2.2 GHz</t>
  </si>
  <si>
    <t>33500*</t>
  </si>
  <si>
    <t>Intel Core i5 8250U</t>
  </si>
  <si>
    <t>36400*</t>
  </si>
  <si>
    <t>4.3 lb</t>
  </si>
  <si>
    <t>1.95 kg</t>
  </si>
  <si>
    <t>16 GB</t>
  </si>
  <si>
    <t>Intel Core i7 8650U</t>
  </si>
  <si>
    <t>1.9 GHz</t>
  </si>
  <si>
    <t>43000*</t>
  </si>
  <si>
    <t>128 GB</t>
  </si>
  <si>
    <t>2.65 lb</t>
  </si>
  <si>
    <t>1.2 kg</t>
  </si>
  <si>
    <t>2.78 lb</t>
  </si>
  <si>
    <t>1.26 kg</t>
  </si>
  <si>
    <t>11 hr</t>
  </si>
  <si>
    <t>3.42 lb</t>
  </si>
  <si>
    <t>1.55 kg</t>
  </si>
  <si>
    <t>Intel Celeron N5000</t>
  </si>
  <si>
    <t>16900*</t>
  </si>
  <si>
    <t>AOpen</t>
  </si>
  <si>
    <t>9.7"</t>
  </si>
  <si>
    <t>2048x1536</t>
  </si>
  <si>
    <t>Rockchip OP1</t>
  </si>
  <si>
    <t>11000*</t>
  </si>
  <si>
    <t>1.51 lb</t>
  </si>
  <si>
    <t>0.69 kg</t>
  </si>
  <si>
    <t>Dec</t>
  </si>
  <si>
    <t>MediaTek M8173C</t>
  </si>
  <si>
    <t>10000*</t>
  </si>
  <si>
    <t>2.43 lb</t>
  </si>
  <si>
    <t>14 hr</t>
  </si>
  <si>
    <t>Intel Celeron N3350</t>
  </si>
  <si>
    <t>Intel Core m3-8100Y</t>
  </si>
  <si>
    <t>30000*</t>
  </si>
  <si>
    <t>2.87 lb</t>
  </si>
  <si>
    <t>1.3 kg</t>
  </si>
  <si>
    <t>9.5 hr</t>
  </si>
  <si>
    <t>1.12 lb</t>
  </si>
  <si>
    <t>0.51 kg</t>
  </si>
  <si>
    <t>3.24 lb</t>
  </si>
  <si>
    <t>1.47 kg</t>
  </si>
  <si>
    <t>Intel Core i5 8200Y</t>
  </si>
  <si>
    <t>1.3 GHz</t>
  </si>
  <si>
    <t>32000*</t>
  </si>
  <si>
    <t>3.2 lb</t>
  </si>
  <si>
    <t>1.2 lb</t>
  </si>
  <si>
    <t>0.54 kg</t>
  </si>
  <si>
    <t>Dell</t>
  </si>
  <si>
    <t>3.1 lb</t>
  </si>
  <si>
    <t>1.41 kg</t>
  </si>
  <si>
    <t>3.45 lb</t>
  </si>
  <si>
    <t>1.56 kg</t>
  </si>
  <si>
    <t>Intel Celeron 4305U</t>
  </si>
  <si>
    <t>4-32 GB</t>
  </si>
  <si>
    <t>3.0 lb</t>
  </si>
  <si>
    <t>1.36 kg</t>
  </si>
  <si>
    <t>Intel Core i3 8145U</t>
  </si>
  <si>
    <t>Intel Core i5 8365U</t>
  </si>
  <si>
    <t>Intel Core i7 8665U</t>
  </si>
  <si>
    <t>44600*</t>
  </si>
  <si>
    <t>21 hr</t>
  </si>
  <si>
    <t>Intel Core i5 8265U</t>
  </si>
  <si>
    <t>42200*</t>
  </si>
  <si>
    <t>Google</t>
  </si>
  <si>
    <t>2.3 lb</t>
  </si>
  <si>
    <t>Intel Core i7 8500Y</t>
  </si>
  <si>
    <t>1.5 GHz</t>
  </si>
  <si>
    <t>2.4 lb</t>
  </si>
  <si>
    <t>1.09 kg</t>
  </si>
  <si>
    <t>2.93 lb</t>
  </si>
  <si>
    <t>1.33 kg</t>
  </si>
  <si>
    <t>11.5 hr</t>
  </si>
  <si>
    <t>3.4 lb</t>
  </si>
  <si>
    <t>3.58 lb</t>
  </si>
  <si>
    <t>1.58 kg</t>
  </si>
  <si>
    <t>3.99 lb</t>
  </si>
  <si>
    <t>1.81 kg</t>
  </si>
  <si>
    <t>3.48 lb</t>
  </si>
  <si>
    <t>Intel Pentium 4415U</t>
  </si>
  <si>
    <t>21300*</t>
  </si>
  <si>
    <t>3.55 lb</t>
  </si>
  <si>
    <t>1.61 kg</t>
  </si>
  <si>
    <t>Intel Core i3 7130U</t>
  </si>
  <si>
    <t>2.7 GHz</t>
  </si>
  <si>
    <t>Intel Core i7 7600U</t>
  </si>
  <si>
    <t>2.8 GHz</t>
  </si>
  <si>
    <t>2.98 lb</t>
  </si>
  <si>
    <t>3.7 lb</t>
  </si>
  <si>
    <t>1.68 kg</t>
  </si>
  <si>
    <t>2.68 lb</t>
  </si>
  <si>
    <t>1.22 kg</t>
  </si>
  <si>
    <t>2.89 lb</t>
  </si>
  <si>
    <t>1.31 kg</t>
  </si>
  <si>
    <t>3.27 lb</t>
  </si>
  <si>
    <t>1.48 kg</t>
  </si>
  <si>
    <t>2.6 lb</t>
  </si>
  <si>
    <t>1.18 kg</t>
  </si>
  <si>
    <t>4.32 lb</t>
  </si>
  <si>
    <t>1.96 kg</t>
  </si>
  <si>
    <t>3.26 lb</t>
  </si>
  <si>
    <t>4.2 lb</t>
  </si>
  <si>
    <t>1.9 kg</t>
  </si>
  <si>
    <t>PCmerge</t>
  </si>
  <si>
    <t>4-6 GB</t>
  </si>
  <si>
    <t>10.5 hr</t>
  </si>
  <si>
    <t>Intel Celeron N3060</t>
  </si>
  <si>
    <t>8800*</t>
  </si>
  <si>
    <t>2-4 GB</t>
  </si>
  <si>
    <t>8 hr</t>
  </si>
  <si>
    <t>Intel Celeron N3450</t>
  </si>
  <si>
    <t>4.08 lb</t>
  </si>
  <si>
    <t>1.85 kg</t>
  </si>
  <si>
    <t>4.0 lb</t>
  </si>
  <si>
    <t>Intel Pentium N4200</t>
  </si>
  <si>
    <t>Intel Core i7 8550U</t>
  </si>
  <si>
    <t>42000*</t>
  </si>
  <si>
    <t>4.85 lb</t>
  </si>
  <si>
    <t>2.2 kg</t>
  </si>
  <si>
    <t>Rockchip  OP1</t>
  </si>
  <si>
    <t>0.55 kg</t>
  </si>
  <si>
    <t>2.2 lb</t>
  </si>
  <si>
    <t>1.0 kg</t>
  </si>
  <si>
    <t>2.54 lb</t>
  </si>
  <si>
    <t>1.15 kg</t>
  </si>
  <si>
    <t>8650*</t>
  </si>
  <si>
    <t>3.17 lb</t>
  </si>
  <si>
    <t>1.44 kg</t>
  </si>
  <si>
    <t>2.82 lb</t>
  </si>
  <si>
    <t>1.28 kg</t>
  </si>
  <si>
    <t>3.08 lb</t>
  </si>
  <si>
    <t>12.3"</t>
  </si>
  <si>
    <t>3000x2000</t>
  </si>
  <si>
    <t>Intel Celeron 3965Y</t>
  </si>
  <si>
    <t>1.61 lb</t>
  </si>
  <si>
    <t>0.73 kg</t>
  </si>
  <si>
    <t>2.73 lb</t>
  </si>
  <si>
    <t>1.24 kg</t>
  </si>
  <si>
    <t>2400x1600</t>
  </si>
  <si>
    <t>Intel Core m3-7Y30</t>
  </si>
  <si>
    <t>1.0 GHz</t>
  </si>
  <si>
    <t>3.07 lb</t>
  </si>
  <si>
    <t>1.39 kg</t>
  </si>
  <si>
    <t>Intel Core i5 7Y54</t>
  </si>
  <si>
    <t>1.2 GHz</t>
  </si>
  <si>
    <t>2.75 lb</t>
  </si>
  <si>
    <t>2.64 lb</t>
  </si>
  <si>
    <t>4.19 lb</t>
  </si>
  <si>
    <t>Poin2</t>
  </si>
  <si>
    <t>3.73 lb</t>
  </si>
  <si>
    <t>1.69 kg</t>
  </si>
  <si>
    <t>12.2"</t>
  </si>
  <si>
    <t>25100*</t>
  </si>
  <si>
    <t>Sector 5</t>
  </si>
  <si>
    <t>2.88 lb</t>
  </si>
  <si>
    <t>Intel Celeron 3855U</t>
  </si>
  <si>
    <t>Intel Core i3 6100U</t>
  </si>
  <si>
    <t>23300*</t>
  </si>
  <si>
    <t>Intel Core i5 6200U</t>
  </si>
  <si>
    <t>28300*</t>
  </si>
  <si>
    <t>Intel Celeron N3160</t>
  </si>
  <si>
    <t>3450pad]</t>
  </si>
  <si>
    <t>8000*</t>
  </si>
  <si>
    <t>3.79 lb</t>
  </si>
  <si>
    <t>1.72 kg</t>
  </si>
  <si>
    <t>10.1"</t>
  </si>
  <si>
    <t>1280x800</t>
  </si>
  <si>
    <t>9700*</t>
  </si>
  <si>
    <t>1.98 lb</t>
  </si>
  <si>
    <t>0.9 kg</t>
  </si>
  <si>
    <t>12.5"</t>
  </si>
  <si>
    <t>Intel Core m3-6Y30</t>
  </si>
  <si>
    <t>900 MHz</t>
  </si>
  <si>
    <t>Intel Core m5-6Y54</t>
  </si>
  <si>
    <t>26800*</t>
  </si>
  <si>
    <t>Intel Core m7-6Y75</t>
  </si>
  <si>
    <t>30600*</t>
  </si>
  <si>
    <t>4-16 GB</t>
  </si>
  <si>
    <t>Intel Pentium 4405Y</t>
  </si>
  <si>
    <t>2.79 lb</t>
  </si>
  <si>
    <t>3.22 lb</t>
  </si>
  <si>
    <t>1.46 kg</t>
  </si>
  <si>
    <t>3.54 lb</t>
  </si>
  <si>
    <t>Intel Core i3 6006U</t>
  </si>
  <si>
    <t>20000*</t>
  </si>
  <si>
    <t>Intel Core i5 7Y57</t>
  </si>
  <si>
    <t>128-256 GB</t>
  </si>
  <si>
    <t>Intel Core i7 7Y75</t>
  </si>
  <si>
    <t>512 GB</t>
  </si>
  <si>
    <t>3.3 lb</t>
  </si>
  <si>
    <t>Intel Celeron N3710</t>
  </si>
  <si>
    <t>9000*</t>
  </si>
  <si>
    <t>3.5 lb</t>
  </si>
  <si>
    <t>1.59 kg</t>
  </si>
  <si>
    <t>Mecer</t>
  </si>
  <si>
    <t>Rockchip RK3288</t>
  </si>
  <si>
    <t>7400*</t>
  </si>
  <si>
    <t>2 GB</t>
  </si>
  <si>
    <t>Positivo</t>
  </si>
  <si>
    <t>8.5 hr</t>
  </si>
  <si>
    <t>2.47 lb</t>
  </si>
  <si>
    <t>1.12 kg</t>
  </si>
  <si>
    <t>2.38 lb</t>
  </si>
  <si>
    <t>1.08 kg</t>
  </si>
  <si>
    <t>Intel Celeron N2840</t>
  </si>
  <si>
    <t>2.16 GHz</t>
  </si>
  <si>
    <t>8500*</t>
  </si>
  <si>
    <t>3.28 lb</t>
  </si>
  <si>
    <t>1.49 kg</t>
  </si>
  <si>
    <t>3.04 lb</t>
  </si>
  <si>
    <t>1.38 kg</t>
  </si>
  <si>
    <t>Intel Celeron 3215U</t>
  </si>
  <si>
    <t>17600*</t>
  </si>
  <si>
    <t>Edxis</t>
  </si>
  <si>
    <t>8200*</t>
  </si>
  <si>
    <t>EPIK</t>
  </si>
  <si>
    <t>maybe</t>
  </si>
  <si>
    <t>2.7 lb</t>
  </si>
  <si>
    <t>2.51 lb</t>
  </si>
  <si>
    <t>1.14 kg</t>
  </si>
  <si>
    <t>2.62 lb</t>
  </si>
  <si>
    <t>1.19 kg</t>
  </si>
  <si>
    <t>3200x1800</t>
  </si>
  <si>
    <t>2.86 lb</t>
  </si>
  <si>
    <t>Intel Core m5-6Y57</t>
  </si>
  <si>
    <t>Intel Celeron N3050</t>
  </si>
  <si>
    <t>2.84 lb</t>
  </si>
  <si>
    <t>Intel Celeron N3150</t>
  </si>
  <si>
    <t>8100*</t>
  </si>
  <si>
    <t>Intel Core i5 6300U</t>
  </si>
  <si>
    <t>2.4 GHz</t>
  </si>
  <si>
    <t>Medion</t>
  </si>
  <si>
    <t>2.71 lb</t>
  </si>
  <si>
    <t>1.23 kg</t>
  </si>
  <si>
    <t>nComput</t>
  </si>
  <si>
    <t>2.53 lb</t>
  </si>
  <si>
    <t>Prowise</t>
  </si>
  <si>
    <t>7200*</t>
  </si>
  <si>
    <t>Viglen</t>
  </si>
  <si>
    <t>Intel Celeron 3205U</t>
  </si>
  <si>
    <t>Tegra K1 A15 ARM</t>
  </si>
  <si>
    <t>7600*</t>
  </si>
  <si>
    <t>14200*</t>
  </si>
  <si>
    <t>Intel Core i3 5005U</t>
  </si>
  <si>
    <t>20300*</t>
  </si>
  <si>
    <t>Intel Core i5 5200U</t>
  </si>
  <si>
    <t>Intel Celeron N2830</t>
  </si>
  <si>
    <t>4.41 lb</t>
  </si>
  <si>
    <t>2.0 kg</t>
  </si>
  <si>
    <t>2.16 lb</t>
  </si>
  <si>
    <t>0.98 kg</t>
  </si>
  <si>
    <t>2.0 lb</t>
  </si>
  <si>
    <t>0.91 kg</t>
  </si>
  <si>
    <t>CDI</t>
  </si>
  <si>
    <t>2.46 lb</t>
  </si>
  <si>
    <t>Intel Celeron N2940</t>
  </si>
  <si>
    <t>1.83 GHz</t>
  </si>
  <si>
    <t>8700*</t>
  </si>
  <si>
    <t>2.74 lb</t>
  </si>
  <si>
    <t>3.56 lb</t>
  </si>
  <si>
    <t>1.62 kg</t>
  </si>
  <si>
    <t>Intel Core i5 5300U</t>
  </si>
  <si>
    <t>27800*</t>
  </si>
  <si>
    <t>12.8"</t>
  </si>
  <si>
    <t>2560x1700</t>
  </si>
  <si>
    <t>Intel Core i7 5500U</t>
  </si>
  <si>
    <t>Haier</t>
  </si>
  <si>
    <t>3.8 lb</t>
  </si>
  <si>
    <t>Hisense</t>
  </si>
  <si>
    <t>3.78 lb</t>
  </si>
  <si>
    <t>1.71 kg</t>
  </si>
  <si>
    <t>Lava</t>
  </si>
  <si>
    <t>Nexian</t>
  </si>
  <si>
    <t>RGS</t>
  </si>
  <si>
    <t>Intel Celeron N2930</t>
  </si>
  <si>
    <t>Toshiba</t>
  </si>
  <si>
    <t>2.95 lb</t>
  </si>
  <si>
    <t>Intel Core i3 5015U</t>
  </si>
  <si>
    <t>TrueIDC</t>
  </si>
  <si>
    <t>Intel Core i3 4005U</t>
  </si>
  <si>
    <t>Intel Celeron 2955U</t>
  </si>
  <si>
    <t>1.4 GHz</t>
  </si>
  <si>
    <t>2.9 lb</t>
  </si>
  <si>
    <t>Hexa</t>
  </si>
  <si>
    <t>Exynos 5250 ARM</t>
  </si>
  <si>
    <t>1.34 kg</t>
  </si>
  <si>
    <t>2.83 lb</t>
  </si>
  <si>
    <t>3.77 lb</t>
  </si>
  <si>
    <t>7700*</t>
  </si>
  <si>
    <t>500 HDD</t>
  </si>
  <si>
    <t>M&amp;A</t>
  </si>
  <si>
    <t>Exynos 5420 ARM</t>
  </si>
  <si>
    <t>Exynos 5800 ARM</t>
  </si>
  <si>
    <t>Senkatel</t>
  </si>
  <si>
    <t>7.5 hr</t>
  </si>
  <si>
    <t>Intel Core i5 3427U</t>
  </si>
  <si>
    <t>5 hr</t>
  </si>
  <si>
    <t>3.35 lb</t>
  </si>
  <si>
    <t>6 hr</t>
  </si>
  <si>
    <t>2.26 lb</t>
  </si>
  <si>
    <t>4.07 lb</t>
  </si>
  <si>
    <t>Intel Celeron 847</t>
  </si>
  <si>
    <t>4 hr</t>
  </si>
  <si>
    <t>3.96 lb</t>
  </si>
  <si>
    <t>Intel Celeron 1007U</t>
  </si>
  <si>
    <t>3.92 lb</t>
  </si>
  <si>
    <t>1.78 kg</t>
  </si>
  <si>
    <t>320 HDD</t>
  </si>
  <si>
    <t>3.5 hr</t>
  </si>
  <si>
    <t>3.05 lb</t>
  </si>
  <si>
    <t>6.5 hr</t>
  </si>
  <si>
    <t>12.1"</t>
  </si>
  <si>
    <t>Intel Celeron 867</t>
  </si>
  <si>
    <t>Intel Atom N570</t>
  </si>
  <si>
    <t>1.67 GHz</t>
  </si>
  <si>
    <t>3300*</t>
  </si>
  <si>
    <t>Intel Atom N455</t>
  </si>
  <si>
    <t>3.06 lb</t>
  </si>
  <si>
    <t>(*) indirect Octane score based on CPU</t>
  </si>
  <si>
    <t>Geekbench 3: With benchmarks up to 2015</t>
  </si>
  <si>
    <t>Geekbench 4: Used from 2016 and onwards</t>
  </si>
  <si>
    <t>Stylus: May be optional on supported models</t>
  </si>
  <si>
    <t>Thu 01 Jun 2023 18:05:01 +0000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</si>
</sst>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7"/>
  <sheetViews>
    <sheetView tabSelected="1" workbookViewId="0" topLeftCell="A1">
      <selection activeCell="A1" sqref="A1"/>
    </sheetView>
  </sheetViews>
  <sheetFormatPr defaultColWidth="10.28125" defaultRowHeight="12.75"/>
  <cols>
    <col min="1" max="1" width="5.00390625" style="0" customWidth="1"/>
    <col min="2" max="2" width="6.57421875" style="0" customWidth="1"/>
    <col min="3" max="3" width="8.421875" style="0" customWidth="1"/>
    <col min="4" max="4" width="38.00390625" style="0" customWidth="1"/>
    <col min="5" max="5" width="7.28125" style="0" customWidth="1"/>
    <col min="6" max="6" width="10.00390625" style="0" customWidth="1"/>
    <col min="7" max="7" width="18.00390625" style="0" customWidth="1"/>
    <col min="8" max="8" width="10.7109375" style="0" customWidth="1"/>
    <col min="9" max="9" width="6.28125" style="0" customWidth="1"/>
    <col min="10" max="10" width="10.28125" style="0" customWidth="1"/>
    <col min="11" max="12" width="12.57421875" style="0" customWidth="1"/>
    <col min="13" max="13" width="7.421875" style="0" customWidth="1"/>
    <col min="14" max="14" width="8.28125" style="0" customWidth="1"/>
    <col min="15" max="15" width="11.140625" style="0" customWidth="1"/>
    <col min="16" max="16" width="7.421875" style="0" customWidth="1"/>
    <col min="17" max="17" width="9.140625" style="0" customWidth="1"/>
    <col min="18" max="18" width="9.57421875" style="0" customWidth="1"/>
    <col min="19" max="19" width="4.57421875" style="0" customWidth="1"/>
    <col min="20" max="20" width="11.8515625" style="0" customWidth="1"/>
    <col min="21" max="21" width="7.7109375" style="0" customWidth="1"/>
    <col min="22" max="22" width="6.7109375" style="0" customWidth="1"/>
    <col min="23" max="16384" width="11.5742187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2.75">
      <c r="A2">
        <v>2020</v>
      </c>
      <c r="B2" t="s">
        <v>22</v>
      </c>
      <c r="C2" t="s">
        <v>23</v>
      </c>
      <c r="D2">
        <f>HYPERLINK("https://news.acer.com/acer-launches-high-performance-durable-12-inch-chromebook-designed-specifically-for-education","Chromebook 712 (C871)")</f>
        <v>0</v>
      </c>
      <c r="E2" t="s">
        <v>24</v>
      </c>
      <c r="F2" t="s">
        <v>25</v>
      </c>
      <c r="G2" t="s">
        <v>26</v>
      </c>
      <c r="H2" t="s">
        <v>26</v>
      </c>
      <c r="I2" t="s">
        <v>26</v>
      </c>
      <c r="J2" t="s">
        <v>26</v>
      </c>
      <c r="K2" t="s">
        <v>26</v>
      </c>
      <c r="L2" t="s">
        <v>26</v>
      </c>
      <c r="M2" t="s">
        <v>26</v>
      </c>
      <c r="N2" t="s">
        <v>27</v>
      </c>
      <c r="O2" t="s">
        <v>28</v>
      </c>
      <c r="P2" t="s">
        <v>29</v>
      </c>
      <c r="Q2" t="s">
        <v>26</v>
      </c>
      <c r="R2" t="s">
        <v>26</v>
      </c>
      <c r="S2" t="s">
        <v>30</v>
      </c>
      <c r="T2" t="s">
        <v>31</v>
      </c>
      <c r="U2" t="s">
        <v>30</v>
      </c>
      <c r="V2" t="s">
        <v>31</v>
      </c>
    </row>
    <row r="3" spans="1:22" ht="12.75">
      <c r="A3">
        <v>2020</v>
      </c>
      <c r="B3" t="s">
        <v>22</v>
      </c>
      <c r="C3" t="s">
        <v>23</v>
      </c>
      <c r="D3">
        <f>HYPERLINK("https://news.acer.com/acer-launches-high-performance-durable-12-inch-chromebook-designed-specifically-for-education","Chromebook 712 (C871T)")</f>
        <v>0</v>
      </c>
      <c r="E3" t="s">
        <v>24</v>
      </c>
      <c r="F3" t="s">
        <v>25</v>
      </c>
      <c r="G3" t="s">
        <v>26</v>
      </c>
      <c r="H3" t="s">
        <v>26</v>
      </c>
      <c r="I3" t="s">
        <v>26</v>
      </c>
      <c r="J3" t="s">
        <v>26</v>
      </c>
      <c r="K3" t="s">
        <v>26</v>
      </c>
      <c r="L3" t="s">
        <v>26</v>
      </c>
      <c r="M3" t="s">
        <v>26</v>
      </c>
      <c r="N3" t="s">
        <v>27</v>
      </c>
      <c r="O3" t="s">
        <v>28</v>
      </c>
      <c r="P3" t="s">
        <v>29</v>
      </c>
      <c r="Q3" t="s">
        <v>26</v>
      </c>
      <c r="R3" t="s">
        <v>26</v>
      </c>
      <c r="S3" t="s">
        <v>30</v>
      </c>
      <c r="T3" t="s">
        <v>30</v>
      </c>
      <c r="U3" t="s">
        <v>30</v>
      </c>
      <c r="V3" t="s">
        <v>31</v>
      </c>
    </row>
    <row r="4" spans="1:22" ht="12.75">
      <c r="A4">
        <v>2020</v>
      </c>
      <c r="B4" t="s">
        <v>22</v>
      </c>
      <c r="C4" t="s">
        <v>32</v>
      </c>
      <c r="D4">
        <f aca="true" t="shared" si="0" ref="D4:D6">HYPERLINK("https://www.asus.com/2-in-1-PCs/ASUS-Chromebook-Flip-C436FA/","Flip C436")</f>
        <v>0</v>
      </c>
      <c r="E4" t="s">
        <v>33</v>
      </c>
      <c r="F4" t="s">
        <v>34</v>
      </c>
      <c r="G4" t="s">
        <v>35</v>
      </c>
      <c r="H4" t="s">
        <v>36</v>
      </c>
      <c r="I4">
        <v>2</v>
      </c>
      <c r="J4">
        <v>5637</v>
      </c>
      <c r="K4">
        <v>9000</v>
      </c>
      <c r="L4">
        <v>4600</v>
      </c>
      <c r="M4" t="s">
        <v>37</v>
      </c>
      <c r="N4" t="s">
        <v>38</v>
      </c>
      <c r="O4" t="s">
        <v>39</v>
      </c>
      <c r="P4" t="s">
        <v>29</v>
      </c>
      <c r="Q4" t="s">
        <v>40</v>
      </c>
      <c r="R4" t="s">
        <v>41</v>
      </c>
      <c r="S4" t="s">
        <v>30</v>
      </c>
      <c r="T4" t="s">
        <v>30</v>
      </c>
      <c r="U4" t="s">
        <v>30</v>
      </c>
      <c r="V4" t="s">
        <v>30</v>
      </c>
    </row>
    <row r="5" spans="1:22" ht="12.75">
      <c r="A5">
        <v>2020</v>
      </c>
      <c r="B5" t="s">
        <v>22</v>
      </c>
      <c r="C5" t="s">
        <v>32</v>
      </c>
      <c r="D5">
        <f t="shared" si="0"/>
        <v>0</v>
      </c>
      <c r="E5" t="s">
        <v>33</v>
      </c>
      <c r="F5" t="s">
        <v>34</v>
      </c>
      <c r="G5" t="s">
        <v>42</v>
      </c>
      <c r="H5" t="s">
        <v>43</v>
      </c>
      <c r="I5">
        <v>4</v>
      </c>
      <c r="J5">
        <v>8479</v>
      </c>
      <c r="K5">
        <v>16400</v>
      </c>
      <c r="L5">
        <v>5000</v>
      </c>
      <c r="M5" t="s">
        <v>26</v>
      </c>
      <c r="N5" t="s">
        <v>38</v>
      </c>
      <c r="O5" t="s">
        <v>39</v>
      </c>
      <c r="P5" t="s">
        <v>29</v>
      </c>
      <c r="Q5" t="s">
        <v>40</v>
      </c>
      <c r="R5" t="s">
        <v>41</v>
      </c>
      <c r="S5" t="s">
        <v>30</v>
      </c>
      <c r="T5" t="s">
        <v>30</v>
      </c>
      <c r="U5" t="s">
        <v>30</v>
      </c>
      <c r="V5" t="s">
        <v>30</v>
      </c>
    </row>
    <row r="6" spans="1:22" ht="12.75">
      <c r="A6">
        <v>2020</v>
      </c>
      <c r="B6" t="s">
        <v>22</v>
      </c>
      <c r="C6" t="s">
        <v>32</v>
      </c>
      <c r="D6">
        <f t="shared" si="0"/>
        <v>0</v>
      </c>
      <c r="E6" t="s">
        <v>33</v>
      </c>
      <c r="F6" t="s">
        <v>34</v>
      </c>
      <c r="G6" t="s">
        <v>44</v>
      </c>
      <c r="H6" t="s">
        <v>45</v>
      </c>
      <c r="I6">
        <v>4</v>
      </c>
      <c r="J6">
        <v>9439</v>
      </c>
      <c r="K6">
        <v>18600</v>
      </c>
      <c r="L6">
        <v>5700</v>
      </c>
      <c r="M6" t="s">
        <v>26</v>
      </c>
      <c r="N6" t="s">
        <v>38</v>
      </c>
      <c r="O6" t="s">
        <v>39</v>
      </c>
      <c r="P6" t="s">
        <v>29</v>
      </c>
      <c r="Q6" t="s">
        <v>40</v>
      </c>
      <c r="R6" t="s">
        <v>41</v>
      </c>
      <c r="S6" t="s">
        <v>30</v>
      </c>
      <c r="T6" t="s">
        <v>30</v>
      </c>
      <c r="U6" t="s">
        <v>30</v>
      </c>
      <c r="V6" t="s">
        <v>30</v>
      </c>
    </row>
    <row r="7" spans="1:22" ht="12.75">
      <c r="A7">
        <v>2020</v>
      </c>
      <c r="B7" t="s">
        <v>46</v>
      </c>
      <c r="C7" t="s">
        <v>47</v>
      </c>
      <c r="D7">
        <f>HYPERLINK("https://ctl.net/collections/chromebooks/products/chromebook-nl71","NL71")</f>
        <v>0</v>
      </c>
      <c r="E7" t="s">
        <v>48</v>
      </c>
      <c r="F7" t="s">
        <v>49</v>
      </c>
      <c r="G7" t="s">
        <v>50</v>
      </c>
      <c r="H7" t="s">
        <v>51</v>
      </c>
      <c r="I7">
        <v>2</v>
      </c>
      <c r="J7" t="s">
        <v>26</v>
      </c>
      <c r="K7">
        <v>4000</v>
      </c>
      <c r="L7">
        <v>2250</v>
      </c>
      <c r="M7">
        <v>16850</v>
      </c>
      <c r="N7" t="s">
        <v>52</v>
      </c>
      <c r="O7" t="s">
        <v>53</v>
      </c>
      <c r="P7" t="s">
        <v>29</v>
      </c>
      <c r="Q7" t="s">
        <v>54</v>
      </c>
      <c r="R7" t="s">
        <v>55</v>
      </c>
      <c r="S7" t="s">
        <v>31</v>
      </c>
      <c r="T7" t="s">
        <v>31</v>
      </c>
      <c r="U7" t="s">
        <v>30</v>
      </c>
      <c r="V7" t="s">
        <v>31</v>
      </c>
    </row>
    <row r="8" spans="1:22" ht="12.75">
      <c r="A8">
        <v>2020</v>
      </c>
      <c r="B8" t="s">
        <v>46</v>
      </c>
      <c r="C8" t="s">
        <v>47</v>
      </c>
      <c r="D8">
        <f>HYPERLINK("https://ctl.net/collections/chromebooks/products/ctl-chromebook-nl71ct","NL71CT")</f>
        <v>0</v>
      </c>
      <c r="E8" t="s">
        <v>48</v>
      </c>
      <c r="F8" t="s">
        <v>49</v>
      </c>
      <c r="G8" t="s">
        <v>50</v>
      </c>
      <c r="H8" t="s">
        <v>51</v>
      </c>
      <c r="I8">
        <v>2</v>
      </c>
      <c r="J8" t="s">
        <v>26</v>
      </c>
      <c r="K8">
        <v>4000</v>
      </c>
      <c r="L8">
        <v>2250</v>
      </c>
      <c r="M8">
        <v>16850</v>
      </c>
      <c r="N8" t="s">
        <v>52</v>
      </c>
      <c r="O8" t="s">
        <v>53</v>
      </c>
      <c r="P8" t="s">
        <v>29</v>
      </c>
      <c r="Q8" t="s">
        <v>56</v>
      </c>
      <c r="R8" t="s">
        <v>57</v>
      </c>
      <c r="S8" t="s">
        <v>30</v>
      </c>
      <c r="T8" t="s">
        <v>30</v>
      </c>
      <c r="U8" t="s">
        <v>30</v>
      </c>
      <c r="V8" t="s">
        <v>31</v>
      </c>
    </row>
    <row r="9" spans="1:22" ht="12.75">
      <c r="A9">
        <v>2020</v>
      </c>
      <c r="B9" t="s">
        <v>46</v>
      </c>
      <c r="C9" t="s">
        <v>47</v>
      </c>
      <c r="D9">
        <f>HYPERLINK("https://ctl.net/collections/chromebooks/products/ctl-chromebook-nl71t","NL71T")</f>
        <v>0</v>
      </c>
      <c r="E9" t="s">
        <v>48</v>
      </c>
      <c r="F9" t="s">
        <v>49</v>
      </c>
      <c r="G9" t="s">
        <v>50</v>
      </c>
      <c r="H9" t="s">
        <v>51</v>
      </c>
      <c r="I9">
        <v>2</v>
      </c>
      <c r="J9" t="s">
        <v>26</v>
      </c>
      <c r="K9">
        <v>4000</v>
      </c>
      <c r="L9">
        <v>2250</v>
      </c>
      <c r="M9">
        <v>16850</v>
      </c>
      <c r="N9" t="s">
        <v>52</v>
      </c>
      <c r="O9" t="s">
        <v>53</v>
      </c>
      <c r="P9" t="s">
        <v>29</v>
      </c>
      <c r="Q9" t="s">
        <v>58</v>
      </c>
      <c r="R9" t="s">
        <v>59</v>
      </c>
      <c r="S9" t="s">
        <v>30</v>
      </c>
      <c r="T9" t="s">
        <v>30</v>
      </c>
      <c r="U9" t="s">
        <v>30</v>
      </c>
      <c r="V9" t="s">
        <v>31</v>
      </c>
    </row>
    <row r="10" spans="1:22" ht="12.75">
      <c r="A10">
        <v>2020</v>
      </c>
      <c r="B10" t="s">
        <v>46</v>
      </c>
      <c r="C10" t="s">
        <v>47</v>
      </c>
      <c r="D10">
        <f>HYPERLINK("https://ctl.net/pages/search-results-page?q=nl71tw","NL71TW")</f>
        <v>0</v>
      </c>
      <c r="E10" t="s">
        <v>48</v>
      </c>
      <c r="F10" t="s">
        <v>49</v>
      </c>
      <c r="G10" t="s">
        <v>60</v>
      </c>
      <c r="H10" t="s">
        <v>51</v>
      </c>
      <c r="I10">
        <v>4</v>
      </c>
      <c r="J10" t="s">
        <v>26</v>
      </c>
      <c r="K10">
        <v>6400</v>
      </c>
      <c r="L10">
        <v>2100</v>
      </c>
      <c r="M10">
        <v>17100</v>
      </c>
      <c r="N10" t="s">
        <v>27</v>
      </c>
      <c r="O10" t="s">
        <v>28</v>
      </c>
      <c r="P10" t="s">
        <v>29</v>
      </c>
      <c r="Q10" t="s">
        <v>61</v>
      </c>
      <c r="R10" t="s">
        <v>62</v>
      </c>
      <c r="S10" t="s">
        <v>30</v>
      </c>
      <c r="T10" t="s">
        <v>30</v>
      </c>
      <c r="U10" t="s">
        <v>30</v>
      </c>
      <c r="V10" t="s">
        <v>30</v>
      </c>
    </row>
    <row r="11" spans="1:22" ht="12.75">
      <c r="A11">
        <v>2020</v>
      </c>
      <c r="B11" t="s">
        <v>63</v>
      </c>
      <c r="C11" t="s">
        <v>64</v>
      </c>
      <c r="D11">
        <f aca="true" t="shared" si="1" ref="D11:D16">HYPERLINK("https://store.hp.com/us/en/pdp/hp-chromebook-11-g8-ee-notebook-pc-customizable-8mq33av-mb","Chromebook 11 G8 EE")</f>
        <v>0</v>
      </c>
      <c r="E11" t="s">
        <v>48</v>
      </c>
      <c r="F11" t="s">
        <v>49</v>
      </c>
      <c r="G11" t="s">
        <v>50</v>
      </c>
      <c r="H11" t="s">
        <v>51</v>
      </c>
      <c r="I11">
        <v>2</v>
      </c>
      <c r="J11" t="s">
        <v>26</v>
      </c>
      <c r="K11">
        <v>4000</v>
      </c>
      <c r="L11">
        <v>2250</v>
      </c>
      <c r="M11" t="s">
        <v>65</v>
      </c>
      <c r="N11" t="s">
        <v>52</v>
      </c>
      <c r="O11" t="s">
        <v>66</v>
      </c>
      <c r="P11" t="s">
        <v>67</v>
      </c>
      <c r="Q11" t="s">
        <v>68</v>
      </c>
      <c r="R11" t="s">
        <v>69</v>
      </c>
      <c r="S11" t="s">
        <v>31</v>
      </c>
      <c r="T11" t="s">
        <v>31</v>
      </c>
      <c r="U11" t="s">
        <v>30</v>
      </c>
      <c r="V11" t="s">
        <v>31</v>
      </c>
    </row>
    <row r="12" spans="1:22" ht="12.75">
      <c r="A12">
        <v>2020</v>
      </c>
      <c r="B12" t="s">
        <v>63</v>
      </c>
      <c r="C12" t="s">
        <v>64</v>
      </c>
      <c r="D12">
        <f t="shared" si="1"/>
        <v>0</v>
      </c>
      <c r="E12" t="s">
        <v>48</v>
      </c>
      <c r="F12" t="s">
        <v>49</v>
      </c>
      <c r="G12" t="s">
        <v>50</v>
      </c>
      <c r="H12" t="s">
        <v>51</v>
      </c>
      <c r="I12">
        <v>2</v>
      </c>
      <c r="J12" t="s">
        <v>26</v>
      </c>
      <c r="K12">
        <v>4000</v>
      </c>
      <c r="L12">
        <v>2250</v>
      </c>
      <c r="M12" t="s">
        <v>65</v>
      </c>
      <c r="N12" t="s">
        <v>52</v>
      </c>
      <c r="O12" t="s">
        <v>66</v>
      </c>
      <c r="P12" t="s">
        <v>67</v>
      </c>
      <c r="Q12" t="s">
        <v>68</v>
      </c>
      <c r="R12" t="s">
        <v>69</v>
      </c>
      <c r="S12" t="s">
        <v>30</v>
      </c>
      <c r="T12" t="s">
        <v>31</v>
      </c>
      <c r="U12" t="s">
        <v>30</v>
      </c>
      <c r="V12" t="s">
        <v>31</v>
      </c>
    </row>
    <row r="13" spans="1:22" ht="12.75">
      <c r="A13">
        <v>2020</v>
      </c>
      <c r="B13" t="s">
        <v>63</v>
      </c>
      <c r="C13" t="s">
        <v>64</v>
      </c>
      <c r="D13">
        <f t="shared" si="1"/>
        <v>0</v>
      </c>
      <c r="E13" t="s">
        <v>48</v>
      </c>
      <c r="F13" t="s">
        <v>49</v>
      </c>
      <c r="G13" t="s">
        <v>50</v>
      </c>
      <c r="H13" t="s">
        <v>51</v>
      </c>
      <c r="I13">
        <v>2</v>
      </c>
      <c r="J13" t="s">
        <v>26</v>
      </c>
      <c r="K13">
        <v>4000</v>
      </c>
      <c r="L13">
        <v>2250</v>
      </c>
      <c r="M13" t="s">
        <v>65</v>
      </c>
      <c r="N13" t="s">
        <v>52</v>
      </c>
      <c r="O13" t="s">
        <v>28</v>
      </c>
      <c r="P13" t="s">
        <v>67</v>
      </c>
      <c r="Q13" t="s">
        <v>68</v>
      </c>
      <c r="R13" t="s">
        <v>69</v>
      </c>
      <c r="S13" t="s">
        <v>30</v>
      </c>
      <c r="T13" t="s">
        <v>30</v>
      </c>
      <c r="U13" t="s">
        <v>30</v>
      </c>
      <c r="V13" t="s">
        <v>31</v>
      </c>
    </row>
    <row r="14" spans="1:22" ht="12.75">
      <c r="A14">
        <v>2020</v>
      </c>
      <c r="B14" t="s">
        <v>63</v>
      </c>
      <c r="C14" t="s">
        <v>64</v>
      </c>
      <c r="D14">
        <f t="shared" si="1"/>
        <v>0</v>
      </c>
      <c r="E14" t="s">
        <v>48</v>
      </c>
      <c r="F14" t="s">
        <v>49</v>
      </c>
      <c r="G14" t="s">
        <v>60</v>
      </c>
      <c r="H14" t="s">
        <v>51</v>
      </c>
      <c r="I14">
        <v>4</v>
      </c>
      <c r="J14" t="s">
        <v>26</v>
      </c>
      <c r="K14">
        <v>6400</v>
      </c>
      <c r="L14">
        <v>2100</v>
      </c>
      <c r="M14" t="s">
        <v>70</v>
      </c>
      <c r="N14" t="s">
        <v>27</v>
      </c>
      <c r="O14" t="s">
        <v>28</v>
      </c>
      <c r="P14" t="s">
        <v>67</v>
      </c>
      <c r="Q14" t="s">
        <v>68</v>
      </c>
      <c r="R14" t="s">
        <v>69</v>
      </c>
      <c r="S14" t="s">
        <v>31</v>
      </c>
      <c r="T14" t="s">
        <v>31</v>
      </c>
      <c r="U14" t="s">
        <v>30</v>
      </c>
      <c r="V14" t="s">
        <v>31</v>
      </c>
    </row>
    <row r="15" spans="1:22" ht="12.75">
      <c r="A15">
        <v>2020</v>
      </c>
      <c r="B15" t="s">
        <v>63</v>
      </c>
      <c r="C15" t="s">
        <v>64</v>
      </c>
      <c r="D15">
        <f t="shared" si="1"/>
        <v>0</v>
      </c>
      <c r="E15" t="s">
        <v>48</v>
      </c>
      <c r="F15" t="s">
        <v>49</v>
      </c>
      <c r="G15" t="s">
        <v>60</v>
      </c>
      <c r="H15" t="s">
        <v>51</v>
      </c>
      <c r="I15">
        <v>4</v>
      </c>
      <c r="J15" t="s">
        <v>26</v>
      </c>
      <c r="K15">
        <v>6400</v>
      </c>
      <c r="L15">
        <v>2100</v>
      </c>
      <c r="M15" t="s">
        <v>70</v>
      </c>
      <c r="N15" t="s">
        <v>27</v>
      </c>
      <c r="O15" t="s">
        <v>28</v>
      </c>
      <c r="P15" t="s">
        <v>67</v>
      </c>
      <c r="Q15" t="s">
        <v>68</v>
      </c>
      <c r="R15" t="s">
        <v>69</v>
      </c>
      <c r="S15" t="s">
        <v>30</v>
      </c>
      <c r="T15" t="s">
        <v>31</v>
      </c>
      <c r="U15" t="s">
        <v>30</v>
      </c>
      <c r="V15" t="s">
        <v>31</v>
      </c>
    </row>
    <row r="16" spans="1:22" ht="12.75">
      <c r="A16">
        <v>2020</v>
      </c>
      <c r="B16" t="s">
        <v>63</v>
      </c>
      <c r="C16" t="s">
        <v>64</v>
      </c>
      <c r="D16">
        <f t="shared" si="1"/>
        <v>0</v>
      </c>
      <c r="E16" t="s">
        <v>48</v>
      </c>
      <c r="F16" t="s">
        <v>49</v>
      </c>
      <c r="G16" t="s">
        <v>60</v>
      </c>
      <c r="H16" t="s">
        <v>51</v>
      </c>
      <c r="I16">
        <v>4</v>
      </c>
      <c r="J16" t="s">
        <v>26</v>
      </c>
      <c r="K16">
        <v>6400</v>
      </c>
      <c r="L16">
        <v>2100</v>
      </c>
      <c r="M16" t="s">
        <v>70</v>
      </c>
      <c r="N16" t="s">
        <v>27</v>
      </c>
      <c r="O16" t="s">
        <v>28</v>
      </c>
      <c r="P16" t="s">
        <v>67</v>
      </c>
      <c r="Q16" t="s">
        <v>68</v>
      </c>
      <c r="R16" t="s">
        <v>69</v>
      </c>
      <c r="S16" t="s">
        <v>30</v>
      </c>
      <c r="T16" t="s">
        <v>30</v>
      </c>
      <c r="U16" t="s">
        <v>30</v>
      </c>
      <c r="V16" t="s">
        <v>31</v>
      </c>
    </row>
    <row r="17" spans="1:22" ht="12.75">
      <c r="A17">
        <v>2020</v>
      </c>
      <c r="B17" t="s">
        <v>46</v>
      </c>
      <c r="C17" t="s">
        <v>64</v>
      </c>
      <c r="D17">
        <f aca="true" t="shared" si="2" ref="D17:D19">HYPERLINK("https://h20195.www2.hp.com/v2/getpdf.aspx/4AA7-6609EEAP.pdf","Chromebook 11A G8 EE")</f>
        <v>0</v>
      </c>
      <c r="E17" t="s">
        <v>48</v>
      </c>
      <c r="F17" t="s">
        <v>49</v>
      </c>
      <c r="G17" t="s">
        <v>71</v>
      </c>
      <c r="H17" t="s">
        <v>45</v>
      </c>
      <c r="I17">
        <v>2</v>
      </c>
      <c r="J17">
        <v>1962</v>
      </c>
      <c r="K17">
        <v>2500</v>
      </c>
      <c r="L17">
        <v>1650</v>
      </c>
      <c r="M17" t="s">
        <v>26</v>
      </c>
      <c r="N17" t="s">
        <v>72</v>
      </c>
      <c r="O17" t="s">
        <v>73</v>
      </c>
      <c r="P17" t="s">
        <v>74</v>
      </c>
      <c r="Q17" t="s">
        <v>75</v>
      </c>
      <c r="R17" t="s">
        <v>76</v>
      </c>
      <c r="S17" t="s">
        <v>31</v>
      </c>
      <c r="T17" t="s">
        <v>31</v>
      </c>
      <c r="U17" t="s">
        <v>30</v>
      </c>
      <c r="V17" t="s">
        <v>31</v>
      </c>
    </row>
    <row r="18" spans="1:22" ht="12.75">
      <c r="A18">
        <v>2020</v>
      </c>
      <c r="B18" t="s">
        <v>46</v>
      </c>
      <c r="C18" t="s">
        <v>64</v>
      </c>
      <c r="D18">
        <f t="shared" si="2"/>
        <v>0</v>
      </c>
      <c r="E18" t="s">
        <v>48</v>
      </c>
      <c r="F18" t="s">
        <v>49</v>
      </c>
      <c r="G18" t="s">
        <v>71</v>
      </c>
      <c r="H18" t="s">
        <v>45</v>
      </c>
      <c r="I18">
        <v>2</v>
      </c>
      <c r="J18">
        <v>1962</v>
      </c>
      <c r="K18">
        <v>2500</v>
      </c>
      <c r="L18">
        <v>1650</v>
      </c>
      <c r="M18" t="s">
        <v>26</v>
      </c>
      <c r="N18" t="s">
        <v>72</v>
      </c>
      <c r="O18" t="s">
        <v>73</v>
      </c>
      <c r="P18" t="s">
        <v>74</v>
      </c>
      <c r="Q18" t="s">
        <v>75</v>
      </c>
      <c r="R18" t="s">
        <v>76</v>
      </c>
      <c r="S18" t="s">
        <v>30</v>
      </c>
      <c r="T18" t="s">
        <v>31</v>
      </c>
      <c r="U18" t="s">
        <v>30</v>
      </c>
      <c r="V18" t="s">
        <v>31</v>
      </c>
    </row>
    <row r="19" spans="1:22" ht="12.75">
      <c r="A19">
        <v>2020</v>
      </c>
      <c r="B19" t="s">
        <v>46</v>
      </c>
      <c r="C19" t="s">
        <v>64</v>
      </c>
      <c r="D19">
        <f t="shared" si="2"/>
        <v>0</v>
      </c>
      <c r="E19" t="s">
        <v>48</v>
      </c>
      <c r="F19" t="s">
        <v>49</v>
      </c>
      <c r="G19" t="s">
        <v>71</v>
      </c>
      <c r="H19" t="s">
        <v>45</v>
      </c>
      <c r="I19">
        <v>2</v>
      </c>
      <c r="J19">
        <v>1962</v>
      </c>
      <c r="K19">
        <v>2500</v>
      </c>
      <c r="L19">
        <v>1650</v>
      </c>
      <c r="M19" t="s">
        <v>26</v>
      </c>
      <c r="N19" t="s">
        <v>72</v>
      </c>
      <c r="O19" t="s">
        <v>73</v>
      </c>
      <c r="P19" t="s">
        <v>74</v>
      </c>
      <c r="Q19" t="s">
        <v>75</v>
      </c>
      <c r="R19" t="s">
        <v>76</v>
      </c>
      <c r="S19" t="s">
        <v>30</v>
      </c>
      <c r="T19" t="s">
        <v>30</v>
      </c>
      <c r="U19" t="s">
        <v>30</v>
      </c>
      <c r="V19" t="s">
        <v>31</v>
      </c>
    </row>
    <row r="20" spans="1:22" ht="12.75">
      <c r="A20">
        <v>2020</v>
      </c>
      <c r="B20" t="s">
        <v>63</v>
      </c>
      <c r="C20" t="s">
        <v>64</v>
      </c>
      <c r="D20">
        <f aca="true" t="shared" si="3" ref="D20:D27">HYPERLINK("https://store.hp.com/us/en/pdp/hp-chromebook-14-g5-notebook-pc-customizable-8mq26av-mb","Chromebook 14 G6")</f>
        <v>0</v>
      </c>
      <c r="E20" t="s">
        <v>33</v>
      </c>
      <c r="F20" t="s">
        <v>49</v>
      </c>
      <c r="G20" t="s">
        <v>50</v>
      </c>
      <c r="H20" t="s">
        <v>51</v>
      </c>
      <c r="I20">
        <v>2</v>
      </c>
      <c r="J20" t="s">
        <v>26</v>
      </c>
      <c r="K20">
        <v>4000</v>
      </c>
      <c r="L20">
        <v>2250</v>
      </c>
      <c r="M20" t="s">
        <v>65</v>
      </c>
      <c r="N20" t="s">
        <v>27</v>
      </c>
      <c r="O20" t="s">
        <v>66</v>
      </c>
      <c r="P20" t="s">
        <v>67</v>
      </c>
      <c r="Q20" t="s">
        <v>77</v>
      </c>
      <c r="R20" t="s">
        <v>78</v>
      </c>
      <c r="S20" t="s">
        <v>31</v>
      </c>
      <c r="T20" t="s">
        <v>31</v>
      </c>
      <c r="U20" t="s">
        <v>30</v>
      </c>
      <c r="V20" t="s">
        <v>31</v>
      </c>
    </row>
    <row r="21" spans="1:22" ht="12.75">
      <c r="A21">
        <v>2020</v>
      </c>
      <c r="B21" t="s">
        <v>63</v>
      </c>
      <c r="C21" t="s">
        <v>64</v>
      </c>
      <c r="D21">
        <f t="shared" si="3"/>
        <v>0</v>
      </c>
      <c r="E21" t="s">
        <v>33</v>
      </c>
      <c r="F21" t="s">
        <v>49</v>
      </c>
      <c r="G21" t="s">
        <v>50</v>
      </c>
      <c r="H21" t="s">
        <v>51</v>
      </c>
      <c r="I21">
        <v>2</v>
      </c>
      <c r="J21" t="s">
        <v>26</v>
      </c>
      <c r="K21">
        <v>4000</v>
      </c>
      <c r="L21">
        <v>2250</v>
      </c>
      <c r="M21" t="s">
        <v>65</v>
      </c>
      <c r="N21" t="s">
        <v>27</v>
      </c>
      <c r="O21" t="s">
        <v>66</v>
      </c>
      <c r="P21" t="s">
        <v>67</v>
      </c>
      <c r="Q21" t="s">
        <v>77</v>
      </c>
      <c r="R21" t="s">
        <v>78</v>
      </c>
      <c r="S21" t="s">
        <v>31</v>
      </c>
      <c r="T21" t="s">
        <v>30</v>
      </c>
      <c r="U21" t="s">
        <v>30</v>
      </c>
      <c r="V21" t="s">
        <v>31</v>
      </c>
    </row>
    <row r="22" spans="1:22" ht="12.75">
      <c r="A22">
        <v>2020</v>
      </c>
      <c r="B22" t="s">
        <v>63</v>
      </c>
      <c r="C22" t="s">
        <v>64</v>
      </c>
      <c r="D22">
        <f t="shared" si="3"/>
        <v>0</v>
      </c>
      <c r="E22" t="s">
        <v>33</v>
      </c>
      <c r="F22" t="s">
        <v>34</v>
      </c>
      <c r="G22" t="s">
        <v>50</v>
      </c>
      <c r="H22" t="s">
        <v>51</v>
      </c>
      <c r="I22">
        <v>2</v>
      </c>
      <c r="J22" t="s">
        <v>26</v>
      </c>
      <c r="K22">
        <v>4000</v>
      </c>
      <c r="L22">
        <v>2250</v>
      </c>
      <c r="M22" t="s">
        <v>65</v>
      </c>
      <c r="N22" t="s">
        <v>27</v>
      </c>
      <c r="O22" t="s">
        <v>66</v>
      </c>
      <c r="P22" t="s">
        <v>67</v>
      </c>
      <c r="Q22" t="s">
        <v>77</v>
      </c>
      <c r="R22" t="s">
        <v>78</v>
      </c>
      <c r="S22" t="s">
        <v>30</v>
      </c>
      <c r="T22" t="s">
        <v>31</v>
      </c>
      <c r="U22" t="s">
        <v>30</v>
      </c>
      <c r="V22" t="s">
        <v>31</v>
      </c>
    </row>
    <row r="23" spans="1:22" ht="12.75">
      <c r="A23">
        <v>2020</v>
      </c>
      <c r="B23" t="s">
        <v>63</v>
      </c>
      <c r="C23" t="s">
        <v>64</v>
      </c>
      <c r="D23">
        <f t="shared" si="3"/>
        <v>0</v>
      </c>
      <c r="E23" t="s">
        <v>33</v>
      </c>
      <c r="F23" t="s">
        <v>34</v>
      </c>
      <c r="G23" t="s">
        <v>50</v>
      </c>
      <c r="H23" t="s">
        <v>51</v>
      </c>
      <c r="I23">
        <v>2</v>
      </c>
      <c r="J23" t="s">
        <v>26</v>
      </c>
      <c r="K23">
        <v>4000</v>
      </c>
      <c r="L23">
        <v>2250</v>
      </c>
      <c r="M23" t="s">
        <v>65</v>
      </c>
      <c r="N23" t="s">
        <v>27</v>
      </c>
      <c r="O23" t="s">
        <v>66</v>
      </c>
      <c r="P23" t="s">
        <v>67</v>
      </c>
      <c r="Q23" t="s">
        <v>77</v>
      </c>
      <c r="R23" t="s">
        <v>78</v>
      </c>
      <c r="S23" t="s">
        <v>30</v>
      </c>
      <c r="T23" t="s">
        <v>30</v>
      </c>
      <c r="U23" t="s">
        <v>30</v>
      </c>
      <c r="V23" t="s">
        <v>31</v>
      </c>
    </row>
    <row r="24" spans="1:22" ht="12.75">
      <c r="A24">
        <v>2020</v>
      </c>
      <c r="B24" t="s">
        <v>63</v>
      </c>
      <c r="C24" t="s">
        <v>64</v>
      </c>
      <c r="D24">
        <f t="shared" si="3"/>
        <v>0</v>
      </c>
      <c r="E24" t="s">
        <v>33</v>
      </c>
      <c r="F24" t="s">
        <v>49</v>
      </c>
      <c r="G24" t="s">
        <v>60</v>
      </c>
      <c r="H24" t="s">
        <v>51</v>
      </c>
      <c r="I24">
        <v>4</v>
      </c>
      <c r="J24" t="s">
        <v>26</v>
      </c>
      <c r="K24">
        <v>6400</v>
      </c>
      <c r="L24">
        <v>2100</v>
      </c>
      <c r="M24" t="s">
        <v>70</v>
      </c>
      <c r="N24" t="s">
        <v>27</v>
      </c>
      <c r="O24" t="s">
        <v>79</v>
      </c>
      <c r="P24" t="s">
        <v>67</v>
      </c>
      <c r="Q24" t="s">
        <v>77</v>
      </c>
      <c r="R24" t="s">
        <v>78</v>
      </c>
      <c r="S24" t="s">
        <v>31</v>
      </c>
      <c r="T24" t="s">
        <v>31</v>
      </c>
      <c r="U24" t="s">
        <v>30</v>
      </c>
      <c r="V24" t="s">
        <v>31</v>
      </c>
    </row>
    <row r="25" spans="1:22" ht="12.75">
      <c r="A25">
        <v>2020</v>
      </c>
      <c r="B25" t="s">
        <v>63</v>
      </c>
      <c r="C25" t="s">
        <v>64</v>
      </c>
      <c r="D25">
        <f t="shared" si="3"/>
        <v>0</v>
      </c>
      <c r="E25" t="s">
        <v>33</v>
      </c>
      <c r="F25" t="s">
        <v>49</v>
      </c>
      <c r="G25" t="s">
        <v>60</v>
      </c>
      <c r="H25" t="s">
        <v>51</v>
      </c>
      <c r="I25">
        <v>4</v>
      </c>
      <c r="J25" t="s">
        <v>26</v>
      </c>
      <c r="K25">
        <v>6400</v>
      </c>
      <c r="L25">
        <v>2100</v>
      </c>
      <c r="M25" t="s">
        <v>70</v>
      </c>
      <c r="N25" t="s">
        <v>27</v>
      </c>
      <c r="O25" t="s">
        <v>79</v>
      </c>
      <c r="P25" t="s">
        <v>67</v>
      </c>
      <c r="Q25" t="s">
        <v>77</v>
      </c>
      <c r="R25" t="s">
        <v>78</v>
      </c>
      <c r="S25" t="s">
        <v>31</v>
      </c>
      <c r="T25" t="s">
        <v>30</v>
      </c>
      <c r="U25" t="s">
        <v>30</v>
      </c>
      <c r="V25" t="s">
        <v>31</v>
      </c>
    </row>
    <row r="26" spans="1:22" ht="12.75">
      <c r="A26">
        <v>2020</v>
      </c>
      <c r="B26" t="s">
        <v>63</v>
      </c>
      <c r="C26" t="s">
        <v>64</v>
      </c>
      <c r="D26">
        <f t="shared" si="3"/>
        <v>0</v>
      </c>
      <c r="E26" t="s">
        <v>33</v>
      </c>
      <c r="F26" t="s">
        <v>34</v>
      </c>
      <c r="G26" t="s">
        <v>60</v>
      </c>
      <c r="H26" t="s">
        <v>51</v>
      </c>
      <c r="I26">
        <v>4</v>
      </c>
      <c r="J26" t="s">
        <v>26</v>
      </c>
      <c r="K26">
        <v>6400</v>
      </c>
      <c r="L26">
        <v>2100</v>
      </c>
      <c r="M26" t="s">
        <v>70</v>
      </c>
      <c r="N26" t="s">
        <v>27</v>
      </c>
      <c r="O26" t="s">
        <v>79</v>
      </c>
      <c r="P26" t="s">
        <v>67</v>
      </c>
      <c r="Q26" t="s">
        <v>77</v>
      </c>
      <c r="R26" t="s">
        <v>78</v>
      </c>
      <c r="S26" t="s">
        <v>30</v>
      </c>
      <c r="T26" t="s">
        <v>31</v>
      </c>
      <c r="U26" t="s">
        <v>30</v>
      </c>
      <c r="V26" t="s">
        <v>31</v>
      </c>
    </row>
    <row r="27" spans="1:22" ht="12.75">
      <c r="A27">
        <v>2020</v>
      </c>
      <c r="B27" t="s">
        <v>63</v>
      </c>
      <c r="C27" t="s">
        <v>64</v>
      </c>
      <c r="D27">
        <f t="shared" si="3"/>
        <v>0</v>
      </c>
      <c r="E27" t="s">
        <v>33</v>
      </c>
      <c r="F27" t="s">
        <v>34</v>
      </c>
      <c r="G27" t="s">
        <v>60</v>
      </c>
      <c r="H27" t="s">
        <v>51</v>
      </c>
      <c r="I27">
        <v>4</v>
      </c>
      <c r="J27" t="s">
        <v>26</v>
      </c>
      <c r="K27">
        <v>6400</v>
      </c>
      <c r="L27">
        <v>2100</v>
      </c>
      <c r="M27" t="s">
        <v>70</v>
      </c>
      <c r="N27" t="s">
        <v>27</v>
      </c>
      <c r="O27" t="s">
        <v>79</v>
      </c>
      <c r="P27" t="s">
        <v>67</v>
      </c>
      <c r="Q27" t="s">
        <v>77</v>
      </c>
      <c r="R27" t="s">
        <v>78</v>
      </c>
      <c r="S27" t="s">
        <v>30</v>
      </c>
      <c r="T27" t="s">
        <v>30</v>
      </c>
      <c r="U27" t="s">
        <v>30</v>
      </c>
      <c r="V27" t="s">
        <v>31</v>
      </c>
    </row>
    <row r="28" spans="1:22" ht="12.75">
      <c r="A28">
        <v>2020</v>
      </c>
      <c r="B28" t="s">
        <v>63</v>
      </c>
      <c r="C28" t="s">
        <v>64</v>
      </c>
      <c r="D28">
        <f aca="true" t="shared" si="4" ref="D28:D29">HYPERLINK("https://store.hp.com/us/en/pdp/hp-chromebook-x360-11-g3-ee-notebook-pc-customizable-8mm99av-mb","Chromebook x360 11 G3 EE")</f>
        <v>0</v>
      </c>
      <c r="E28" t="s">
        <v>48</v>
      </c>
      <c r="F28" t="s">
        <v>49</v>
      </c>
      <c r="G28" t="s">
        <v>50</v>
      </c>
      <c r="H28" t="s">
        <v>51</v>
      </c>
      <c r="I28">
        <v>2</v>
      </c>
      <c r="J28" t="s">
        <v>26</v>
      </c>
      <c r="K28">
        <v>4000</v>
      </c>
      <c r="L28">
        <v>2250</v>
      </c>
      <c r="M28" t="s">
        <v>65</v>
      </c>
      <c r="N28" t="s">
        <v>27</v>
      </c>
      <c r="O28" t="s">
        <v>28</v>
      </c>
      <c r="P28" t="s">
        <v>80</v>
      </c>
      <c r="Q28" t="s">
        <v>81</v>
      </c>
      <c r="R28" t="s">
        <v>82</v>
      </c>
      <c r="S28" t="s">
        <v>30</v>
      </c>
      <c r="T28" t="s">
        <v>30</v>
      </c>
      <c r="U28" t="s">
        <v>30</v>
      </c>
      <c r="V28" t="s">
        <v>30</v>
      </c>
    </row>
    <row r="29" spans="1:22" ht="12.75">
      <c r="A29">
        <v>2020</v>
      </c>
      <c r="B29" t="s">
        <v>63</v>
      </c>
      <c r="C29" t="s">
        <v>64</v>
      </c>
      <c r="D29">
        <f t="shared" si="4"/>
        <v>0</v>
      </c>
      <c r="E29" t="s">
        <v>48</v>
      </c>
      <c r="F29" t="s">
        <v>49</v>
      </c>
      <c r="G29" t="s">
        <v>60</v>
      </c>
      <c r="H29" t="s">
        <v>51</v>
      </c>
      <c r="I29">
        <v>4</v>
      </c>
      <c r="J29" t="s">
        <v>26</v>
      </c>
      <c r="K29">
        <v>6400</v>
      </c>
      <c r="L29">
        <v>2100</v>
      </c>
      <c r="M29" t="s">
        <v>70</v>
      </c>
      <c r="N29" t="s">
        <v>27</v>
      </c>
      <c r="O29" t="s">
        <v>28</v>
      </c>
      <c r="P29" t="s">
        <v>80</v>
      </c>
      <c r="Q29" t="s">
        <v>81</v>
      </c>
      <c r="R29" t="s">
        <v>82</v>
      </c>
      <c r="S29" t="s">
        <v>30</v>
      </c>
      <c r="T29" t="s">
        <v>30</v>
      </c>
      <c r="U29" t="s">
        <v>30</v>
      </c>
      <c r="V29" t="s">
        <v>30</v>
      </c>
    </row>
    <row r="30" spans="1:22" ht="12.75">
      <c r="A30">
        <v>2020</v>
      </c>
      <c r="B30" t="s">
        <v>83</v>
      </c>
      <c r="C30" t="s">
        <v>84</v>
      </c>
      <c r="D30">
        <f>HYPERLINK("https://news.lenovo.com/wp-content/uploads/2020/01/Lenovo-IdeaPad-Duet-Chromebook_Datasheet-1.pdf","Chromebook Duet (detachable)")</f>
        <v>0</v>
      </c>
      <c r="E30" t="s">
        <v>85</v>
      </c>
      <c r="F30" t="s">
        <v>86</v>
      </c>
      <c r="G30" t="s">
        <v>87</v>
      </c>
      <c r="H30" t="s">
        <v>88</v>
      </c>
      <c r="I30">
        <v>8</v>
      </c>
      <c r="J30" t="s">
        <v>26</v>
      </c>
      <c r="K30" t="s">
        <v>26</v>
      </c>
      <c r="L30" t="s">
        <v>26</v>
      </c>
      <c r="M30" t="s">
        <v>26</v>
      </c>
      <c r="N30" t="s">
        <v>52</v>
      </c>
      <c r="O30" t="s">
        <v>89</v>
      </c>
      <c r="P30" t="s">
        <v>74</v>
      </c>
      <c r="Q30" t="s">
        <v>90</v>
      </c>
      <c r="R30" t="s">
        <v>91</v>
      </c>
      <c r="S30" t="s">
        <v>30</v>
      </c>
      <c r="T30" t="s">
        <v>30</v>
      </c>
      <c r="U30" t="s">
        <v>30</v>
      </c>
      <c r="V30" t="s">
        <v>30</v>
      </c>
    </row>
    <row r="31" spans="1:22" ht="12.75">
      <c r="A31">
        <v>2020</v>
      </c>
      <c r="B31" t="s">
        <v>92</v>
      </c>
      <c r="C31" t="s">
        <v>84</v>
      </c>
      <c r="D31">
        <f>HYPERLINK("https://forums.lenovo.com/t5/Lenovo-CES-2020/Lenovo-Flex-5-Chromebook-or-Chromebook-Flex-5/td-p/4617835","Flex 5 Chromebook")</f>
        <v>0</v>
      </c>
      <c r="E31" t="s">
        <v>93</v>
      </c>
      <c r="F31" t="s">
        <v>34</v>
      </c>
      <c r="G31" t="s">
        <v>26</v>
      </c>
      <c r="H31" t="s">
        <v>26</v>
      </c>
      <c r="I31" t="s">
        <v>26</v>
      </c>
      <c r="J31" t="s">
        <v>26</v>
      </c>
      <c r="K31" t="s">
        <v>26</v>
      </c>
      <c r="L31" t="s">
        <v>26</v>
      </c>
      <c r="M31" t="s">
        <v>26</v>
      </c>
      <c r="N31" t="s">
        <v>27</v>
      </c>
      <c r="O31" t="s">
        <v>79</v>
      </c>
      <c r="P31" t="s">
        <v>74</v>
      </c>
      <c r="Q31" t="s">
        <v>94</v>
      </c>
      <c r="R31" t="s">
        <v>95</v>
      </c>
      <c r="S31" t="s">
        <v>30</v>
      </c>
      <c r="T31" t="s">
        <v>30</v>
      </c>
      <c r="U31" t="s">
        <v>30</v>
      </c>
      <c r="V31" t="s">
        <v>30</v>
      </c>
    </row>
    <row r="32" spans="1:22" ht="12.75">
      <c r="A32">
        <v>2020</v>
      </c>
      <c r="B32" t="s">
        <v>22</v>
      </c>
      <c r="C32" t="s">
        <v>96</v>
      </c>
      <c r="D32">
        <f>HYPERLINK("https://www.samsung.com/us/computing/chromebooks/galaxy-chromebook/","Galaxy Chromebook")</f>
        <v>0</v>
      </c>
      <c r="E32" t="s">
        <v>93</v>
      </c>
      <c r="F32" t="s">
        <v>97</v>
      </c>
      <c r="G32" t="s">
        <v>42</v>
      </c>
      <c r="H32" t="s">
        <v>43</v>
      </c>
      <c r="I32">
        <v>4</v>
      </c>
      <c r="J32">
        <v>8479</v>
      </c>
      <c r="K32">
        <v>16400</v>
      </c>
      <c r="L32">
        <v>5000</v>
      </c>
      <c r="M32" t="s">
        <v>26</v>
      </c>
      <c r="N32" t="s">
        <v>98</v>
      </c>
      <c r="O32" t="s">
        <v>99</v>
      </c>
      <c r="P32" t="s">
        <v>100</v>
      </c>
      <c r="Q32" t="s">
        <v>101</v>
      </c>
      <c r="R32" t="s">
        <v>102</v>
      </c>
      <c r="S32" t="s">
        <v>30</v>
      </c>
      <c r="T32" t="s">
        <v>30</v>
      </c>
      <c r="U32" t="s">
        <v>30</v>
      </c>
      <c r="V32" t="s">
        <v>30</v>
      </c>
    </row>
    <row r="33" spans="1:22" ht="12.75">
      <c r="A33">
        <v>2019</v>
      </c>
      <c r="B33" t="s">
        <v>103</v>
      </c>
      <c r="C33" t="s">
        <v>23</v>
      </c>
      <c r="D33">
        <f>HYPERLINK("https://www.amazon.com/exec/obidos/ASIN/B08171NZJ9","Chromebook 13")</f>
        <v>0</v>
      </c>
      <c r="E33" t="s">
        <v>104</v>
      </c>
      <c r="F33" t="s">
        <v>105</v>
      </c>
      <c r="G33" t="s">
        <v>106</v>
      </c>
      <c r="H33" t="s">
        <v>107</v>
      </c>
      <c r="I33">
        <v>4</v>
      </c>
      <c r="J33">
        <v>8239</v>
      </c>
      <c r="K33">
        <v>16000</v>
      </c>
      <c r="L33">
        <v>4600</v>
      </c>
      <c r="M33" t="s">
        <v>108</v>
      </c>
      <c r="N33" t="s">
        <v>98</v>
      </c>
      <c r="O33" t="s">
        <v>109</v>
      </c>
      <c r="P33" t="s">
        <v>74</v>
      </c>
      <c r="Q33" t="s">
        <v>110</v>
      </c>
      <c r="R33" t="s">
        <v>111</v>
      </c>
      <c r="S33" t="s">
        <v>30</v>
      </c>
      <c r="T33" t="s">
        <v>31</v>
      </c>
      <c r="U33" t="s">
        <v>30</v>
      </c>
      <c r="V33" t="s">
        <v>31</v>
      </c>
    </row>
    <row r="34" spans="1:22" ht="12.75">
      <c r="A34">
        <v>2019</v>
      </c>
      <c r="B34" t="s">
        <v>112</v>
      </c>
      <c r="C34" t="s">
        <v>23</v>
      </c>
      <c r="D34">
        <f>HYPERLINK("https://www.acer.com/ac/en/US/content/professional-model/NX.HBNAA.001","Chromebook 311 C721")</f>
        <v>0</v>
      </c>
      <c r="E34" t="s">
        <v>48</v>
      </c>
      <c r="F34" t="s">
        <v>49</v>
      </c>
      <c r="G34" t="s">
        <v>113</v>
      </c>
      <c r="H34" t="s">
        <v>43</v>
      </c>
      <c r="I34">
        <v>2</v>
      </c>
      <c r="J34">
        <v>1539</v>
      </c>
      <c r="K34">
        <v>2300</v>
      </c>
      <c r="L34">
        <v>1500</v>
      </c>
      <c r="M34" t="s">
        <v>114</v>
      </c>
      <c r="N34" t="s">
        <v>52</v>
      </c>
      <c r="O34" t="s">
        <v>53</v>
      </c>
      <c r="P34" t="s">
        <v>29</v>
      </c>
      <c r="Q34" t="s">
        <v>115</v>
      </c>
      <c r="R34" t="s">
        <v>116</v>
      </c>
      <c r="S34" t="s">
        <v>31</v>
      </c>
      <c r="T34" t="s">
        <v>31</v>
      </c>
      <c r="U34" t="s">
        <v>30</v>
      </c>
      <c r="V34" t="s">
        <v>31</v>
      </c>
    </row>
    <row r="35" spans="1:22" ht="12.75">
      <c r="A35">
        <v>2019</v>
      </c>
      <c r="B35" t="s">
        <v>83</v>
      </c>
      <c r="C35" t="s">
        <v>23</v>
      </c>
      <c r="D35">
        <f>HYPERLINK("https://www.acer.com/ac/en/US/content/professional-model/NX.H8VAA.001","Chromebook 311 C733")</f>
        <v>0</v>
      </c>
      <c r="E35" t="s">
        <v>48</v>
      </c>
      <c r="F35" t="s">
        <v>49</v>
      </c>
      <c r="G35" t="s">
        <v>117</v>
      </c>
      <c r="H35" t="s">
        <v>51</v>
      </c>
      <c r="I35">
        <v>2</v>
      </c>
      <c r="J35">
        <v>1465</v>
      </c>
      <c r="K35">
        <v>3900</v>
      </c>
      <c r="L35">
        <v>2200</v>
      </c>
      <c r="M35" t="s">
        <v>118</v>
      </c>
      <c r="N35" t="s">
        <v>52</v>
      </c>
      <c r="O35" t="s">
        <v>53</v>
      </c>
      <c r="P35" t="s">
        <v>29</v>
      </c>
      <c r="Q35" t="s">
        <v>119</v>
      </c>
      <c r="R35" t="s">
        <v>120</v>
      </c>
      <c r="S35" t="s">
        <v>31</v>
      </c>
      <c r="T35" t="s">
        <v>31</v>
      </c>
      <c r="U35" t="s">
        <v>30</v>
      </c>
      <c r="V35" t="s">
        <v>31</v>
      </c>
    </row>
    <row r="36" spans="1:22" ht="12.75">
      <c r="A36">
        <v>2019</v>
      </c>
      <c r="B36" t="s">
        <v>83</v>
      </c>
      <c r="C36" t="s">
        <v>23</v>
      </c>
      <c r="D36">
        <f>HYPERLINK("https://www.amazon.com/exec/obidos/ASIN/B07S3RHNG9","Chromebook 311 C733")</f>
        <v>0</v>
      </c>
      <c r="E36" t="s">
        <v>48</v>
      </c>
      <c r="F36" t="s">
        <v>49</v>
      </c>
      <c r="G36" t="s">
        <v>117</v>
      </c>
      <c r="H36" t="s">
        <v>51</v>
      </c>
      <c r="I36">
        <v>2</v>
      </c>
      <c r="J36">
        <v>1465</v>
      </c>
      <c r="K36">
        <v>3900</v>
      </c>
      <c r="L36">
        <v>2200</v>
      </c>
      <c r="M36" t="s">
        <v>118</v>
      </c>
      <c r="N36" t="s">
        <v>52</v>
      </c>
      <c r="O36" t="s">
        <v>53</v>
      </c>
      <c r="P36" t="s">
        <v>29</v>
      </c>
      <c r="Q36" t="s">
        <v>119</v>
      </c>
      <c r="R36" t="s">
        <v>120</v>
      </c>
      <c r="S36" t="s">
        <v>30</v>
      </c>
      <c r="T36" t="s">
        <v>31</v>
      </c>
      <c r="U36" t="s">
        <v>30</v>
      </c>
      <c r="V36" t="s">
        <v>31</v>
      </c>
    </row>
    <row r="37" spans="1:22" ht="12.75">
      <c r="A37">
        <v>2019</v>
      </c>
      <c r="B37" t="s">
        <v>83</v>
      </c>
      <c r="C37" t="s">
        <v>23</v>
      </c>
      <c r="D37">
        <f>HYPERLINK("https://www.amazon.com/exec/obidos/ASIN/B082XL6MW9","Chromebook 311 C733T")</f>
        <v>0</v>
      </c>
      <c r="E37" t="s">
        <v>48</v>
      </c>
      <c r="F37" t="s">
        <v>49</v>
      </c>
      <c r="G37" t="s">
        <v>117</v>
      </c>
      <c r="H37" t="s">
        <v>51</v>
      </c>
      <c r="I37">
        <v>2</v>
      </c>
      <c r="J37">
        <v>1465</v>
      </c>
      <c r="K37">
        <v>3900</v>
      </c>
      <c r="L37">
        <v>2200</v>
      </c>
      <c r="M37" t="s">
        <v>118</v>
      </c>
      <c r="N37" t="s">
        <v>52</v>
      </c>
      <c r="O37" t="s">
        <v>53</v>
      </c>
      <c r="P37" t="s">
        <v>29</v>
      </c>
      <c r="Q37" t="s">
        <v>119</v>
      </c>
      <c r="R37" t="s">
        <v>120</v>
      </c>
      <c r="S37" t="s">
        <v>30</v>
      </c>
      <c r="T37" t="s">
        <v>30</v>
      </c>
      <c r="U37" t="s">
        <v>30</v>
      </c>
      <c r="V37" t="s">
        <v>31</v>
      </c>
    </row>
    <row r="38" spans="1:22" ht="12.75">
      <c r="A38">
        <v>2019</v>
      </c>
      <c r="B38" t="s">
        <v>121</v>
      </c>
      <c r="C38" t="s">
        <v>23</v>
      </c>
      <c r="D38">
        <f>HYPERLINK("https://www.amazon.co.uk/exec/obidos/ASIN/B07NPCKCNT","Chromebook 311 C733T")</f>
        <v>0</v>
      </c>
      <c r="E38" t="s">
        <v>48</v>
      </c>
      <c r="F38" t="s">
        <v>49</v>
      </c>
      <c r="G38" t="s">
        <v>122</v>
      </c>
      <c r="H38" t="s">
        <v>51</v>
      </c>
      <c r="I38">
        <v>4</v>
      </c>
      <c r="J38">
        <v>2324</v>
      </c>
      <c r="K38">
        <v>6200</v>
      </c>
      <c r="L38">
        <v>2000</v>
      </c>
      <c r="M38" t="s">
        <v>123</v>
      </c>
      <c r="N38" t="s">
        <v>52</v>
      </c>
      <c r="O38" t="s">
        <v>53</v>
      </c>
      <c r="P38" t="s">
        <v>29</v>
      </c>
      <c r="Q38" t="s">
        <v>119</v>
      </c>
      <c r="R38" t="s">
        <v>120</v>
      </c>
      <c r="S38" t="s">
        <v>30</v>
      </c>
      <c r="T38" t="s">
        <v>30</v>
      </c>
      <c r="U38" t="s">
        <v>30</v>
      </c>
      <c r="V38" t="s">
        <v>31</v>
      </c>
    </row>
    <row r="39" spans="1:22" ht="12.75">
      <c r="A39">
        <v>2019</v>
      </c>
      <c r="B39" t="s">
        <v>124</v>
      </c>
      <c r="C39" t="s">
        <v>23</v>
      </c>
      <c r="D39">
        <f>HYPERLINK("https://www.amazon.com/exec/obidos/ASIN/B07XJ7PXT4","Chromebook 311 (CB311-9H)")</f>
        <v>0</v>
      </c>
      <c r="E39" t="s">
        <v>48</v>
      </c>
      <c r="F39" t="s">
        <v>49</v>
      </c>
      <c r="G39" t="s">
        <v>117</v>
      </c>
      <c r="H39" t="s">
        <v>51</v>
      </c>
      <c r="I39">
        <v>2</v>
      </c>
      <c r="J39">
        <v>1465</v>
      </c>
      <c r="K39">
        <v>3900</v>
      </c>
      <c r="L39">
        <v>2200</v>
      </c>
      <c r="M39" t="s">
        <v>118</v>
      </c>
      <c r="N39" t="s">
        <v>52</v>
      </c>
      <c r="O39" t="s">
        <v>53</v>
      </c>
      <c r="P39" t="s">
        <v>29</v>
      </c>
      <c r="Q39" t="s">
        <v>125</v>
      </c>
      <c r="R39" t="s">
        <v>126</v>
      </c>
      <c r="S39" t="s">
        <v>30</v>
      </c>
      <c r="T39" t="s">
        <v>31</v>
      </c>
      <c r="U39" t="s">
        <v>30</v>
      </c>
      <c r="V39" t="s">
        <v>31</v>
      </c>
    </row>
    <row r="40" spans="1:22" ht="12.75">
      <c r="A40">
        <v>2019</v>
      </c>
      <c r="B40" t="s">
        <v>124</v>
      </c>
      <c r="C40" t="s">
        <v>23</v>
      </c>
      <c r="D40">
        <f>HYPERLINK("https://www.acer.com/ac/no/NO/content/model/NX.HKGED.001","Chromebook 311 (CB311-9HT)")</f>
        <v>0</v>
      </c>
      <c r="E40" t="s">
        <v>48</v>
      </c>
      <c r="F40" t="s">
        <v>49</v>
      </c>
      <c r="G40" t="s">
        <v>117</v>
      </c>
      <c r="H40" t="s">
        <v>51</v>
      </c>
      <c r="I40">
        <v>2</v>
      </c>
      <c r="J40">
        <v>1465</v>
      </c>
      <c r="K40">
        <v>3900</v>
      </c>
      <c r="L40">
        <v>2200</v>
      </c>
      <c r="M40" t="s">
        <v>118</v>
      </c>
      <c r="N40" t="s">
        <v>52</v>
      </c>
      <c r="O40" t="s">
        <v>53</v>
      </c>
      <c r="P40" t="s">
        <v>29</v>
      </c>
      <c r="Q40" t="s">
        <v>125</v>
      </c>
      <c r="R40" t="s">
        <v>126</v>
      </c>
      <c r="S40" t="s">
        <v>30</v>
      </c>
      <c r="T40" t="s">
        <v>30</v>
      </c>
      <c r="U40" t="s">
        <v>30</v>
      </c>
      <c r="V40" t="s">
        <v>31</v>
      </c>
    </row>
    <row r="41" spans="1:22" ht="12.75">
      <c r="A41">
        <v>2019</v>
      </c>
      <c r="B41" t="s">
        <v>124</v>
      </c>
      <c r="C41" t="s">
        <v>23</v>
      </c>
      <c r="D41">
        <f>HYPERLINK("https://www.amazon.co.uk/exec/obidos/ASIN/B07Y299N77","Chromebook 314")</f>
        <v>0</v>
      </c>
      <c r="E41" t="s">
        <v>33</v>
      </c>
      <c r="F41" t="s">
        <v>49</v>
      </c>
      <c r="G41" t="s">
        <v>117</v>
      </c>
      <c r="H41" t="s">
        <v>51</v>
      </c>
      <c r="I41">
        <v>2</v>
      </c>
      <c r="J41">
        <v>1465</v>
      </c>
      <c r="K41">
        <v>3900</v>
      </c>
      <c r="L41">
        <v>2200</v>
      </c>
      <c r="M41" t="s">
        <v>118</v>
      </c>
      <c r="N41" t="s">
        <v>52</v>
      </c>
      <c r="O41" t="s">
        <v>28</v>
      </c>
      <c r="P41" t="s">
        <v>127</v>
      </c>
      <c r="Q41" t="s">
        <v>128</v>
      </c>
      <c r="R41" t="s">
        <v>129</v>
      </c>
      <c r="S41" t="s">
        <v>31</v>
      </c>
      <c r="T41" t="s">
        <v>31</v>
      </c>
      <c r="U41" t="s">
        <v>30</v>
      </c>
      <c r="V41" t="s">
        <v>31</v>
      </c>
    </row>
    <row r="42" spans="1:22" ht="12.75">
      <c r="A42">
        <v>2019</v>
      </c>
      <c r="B42" t="s">
        <v>124</v>
      </c>
      <c r="C42" t="s">
        <v>23</v>
      </c>
      <c r="D42">
        <f aca="true" t="shared" si="5" ref="D42:D43">HYPERLINK("https://www.acer.com/ac/no/NO/content/professional-models/laptops/acerchromebook314","Chromebook 314")</f>
        <v>0</v>
      </c>
      <c r="E42" t="s">
        <v>33</v>
      </c>
      <c r="F42" t="s">
        <v>49</v>
      </c>
      <c r="G42" t="s">
        <v>117</v>
      </c>
      <c r="H42" t="s">
        <v>51</v>
      </c>
      <c r="I42">
        <v>2</v>
      </c>
      <c r="J42">
        <v>1465</v>
      </c>
      <c r="K42">
        <v>3900</v>
      </c>
      <c r="L42">
        <v>2200</v>
      </c>
      <c r="M42" t="s">
        <v>118</v>
      </c>
      <c r="N42" t="s">
        <v>52</v>
      </c>
      <c r="O42" t="s">
        <v>28</v>
      </c>
      <c r="P42" t="s">
        <v>127</v>
      </c>
      <c r="Q42" t="s">
        <v>128</v>
      </c>
      <c r="R42" t="s">
        <v>129</v>
      </c>
      <c r="S42" t="s">
        <v>31</v>
      </c>
      <c r="T42" t="s">
        <v>30</v>
      </c>
      <c r="U42" t="s">
        <v>30</v>
      </c>
      <c r="V42" t="s">
        <v>31</v>
      </c>
    </row>
    <row r="43" spans="1:22" ht="12.75">
      <c r="A43">
        <v>2019</v>
      </c>
      <c r="B43" t="s">
        <v>124</v>
      </c>
      <c r="C43" t="s">
        <v>23</v>
      </c>
      <c r="D43">
        <f t="shared" si="5"/>
        <v>0</v>
      </c>
      <c r="E43" t="s">
        <v>33</v>
      </c>
      <c r="F43" t="s">
        <v>34</v>
      </c>
      <c r="G43" t="s">
        <v>122</v>
      </c>
      <c r="H43" t="s">
        <v>51</v>
      </c>
      <c r="I43">
        <v>4</v>
      </c>
      <c r="J43">
        <v>2324</v>
      </c>
      <c r="K43">
        <v>6200</v>
      </c>
      <c r="L43">
        <v>2000</v>
      </c>
      <c r="M43" t="s">
        <v>123</v>
      </c>
      <c r="N43" t="s">
        <v>52</v>
      </c>
      <c r="O43" t="s">
        <v>109</v>
      </c>
      <c r="P43" t="s">
        <v>127</v>
      </c>
      <c r="Q43" t="s">
        <v>128</v>
      </c>
      <c r="R43" t="s">
        <v>129</v>
      </c>
      <c r="S43" t="s">
        <v>30</v>
      </c>
      <c r="T43" t="s">
        <v>30</v>
      </c>
      <c r="U43" t="s">
        <v>30</v>
      </c>
      <c r="V43" t="s">
        <v>31</v>
      </c>
    </row>
    <row r="44" spans="1:22" ht="12.75">
      <c r="A44">
        <v>2019</v>
      </c>
      <c r="B44" t="s">
        <v>124</v>
      </c>
      <c r="C44" t="s">
        <v>23</v>
      </c>
      <c r="D44">
        <f>HYPERLINK("https://www.acer.com/ac/sv/SE/content/professional-models/laptops/acerchromebook314","Chromebook 314")</f>
        <v>0</v>
      </c>
      <c r="E44" t="s">
        <v>33</v>
      </c>
      <c r="F44" t="s">
        <v>34</v>
      </c>
      <c r="G44" t="s">
        <v>130</v>
      </c>
      <c r="H44" t="s">
        <v>51</v>
      </c>
      <c r="I44">
        <v>4</v>
      </c>
      <c r="J44">
        <v>2033</v>
      </c>
      <c r="K44">
        <v>5300</v>
      </c>
      <c r="L44">
        <v>1750</v>
      </c>
      <c r="M44" t="s">
        <v>131</v>
      </c>
      <c r="N44" t="s">
        <v>98</v>
      </c>
      <c r="O44" t="s">
        <v>109</v>
      </c>
      <c r="P44" t="s">
        <v>127</v>
      </c>
      <c r="Q44" t="s">
        <v>128</v>
      </c>
      <c r="R44" t="s">
        <v>129</v>
      </c>
      <c r="S44" t="s">
        <v>30</v>
      </c>
      <c r="T44" t="s">
        <v>30</v>
      </c>
      <c r="U44" t="s">
        <v>30</v>
      </c>
      <c r="V44" t="s">
        <v>31</v>
      </c>
    </row>
    <row r="45" spans="1:22" ht="12.75">
      <c r="A45">
        <v>2019</v>
      </c>
      <c r="B45" t="s">
        <v>22</v>
      </c>
      <c r="C45" t="s">
        <v>23</v>
      </c>
      <c r="D45">
        <f>HYPERLINK("https://www.amazon.com/exec/obidos/ASIN/B07NQ5KPKG","Chromebook 315")</f>
        <v>0</v>
      </c>
      <c r="E45" t="s">
        <v>132</v>
      </c>
      <c r="F45" t="s">
        <v>49</v>
      </c>
      <c r="G45" t="s">
        <v>113</v>
      </c>
      <c r="H45" t="s">
        <v>43</v>
      </c>
      <c r="I45">
        <v>2</v>
      </c>
      <c r="J45">
        <v>1539</v>
      </c>
      <c r="K45">
        <v>2300</v>
      </c>
      <c r="L45">
        <v>1500</v>
      </c>
      <c r="M45" t="s">
        <v>114</v>
      </c>
      <c r="N45" t="s">
        <v>52</v>
      </c>
      <c r="O45" t="s">
        <v>28</v>
      </c>
      <c r="P45" t="s">
        <v>74</v>
      </c>
      <c r="Q45" t="s">
        <v>133</v>
      </c>
      <c r="R45" t="s">
        <v>134</v>
      </c>
      <c r="S45" t="s">
        <v>31</v>
      </c>
      <c r="T45" t="s">
        <v>31</v>
      </c>
      <c r="U45" t="s">
        <v>30</v>
      </c>
      <c r="V45" t="s">
        <v>31</v>
      </c>
    </row>
    <row r="46" spans="1:22" ht="12.75">
      <c r="A46">
        <v>2019</v>
      </c>
      <c r="B46" t="s">
        <v>135</v>
      </c>
      <c r="C46" t="s">
        <v>23</v>
      </c>
      <c r="D46">
        <f>HYPERLINK("https://www.amazon.com/exec/obidos/ASIN/B07RCSSNT1","Chromebook 315")</f>
        <v>0</v>
      </c>
      <c r="E46" t="s">
        <v>132</v>
      </c>
      <c r="F46" t="s">
        <v>34</v>
      </c>
      <c r="G46" t="s">
        <v>113</v>
      </c>
      <c r="H46" t="s">
        <v>43</v>
      </c>
      <c r="I46">
        <v>2</v>
      </c>
      <c r="J46">
        <v>1539</v>
      </c>
      <c r="K46">
        <v>2300</v>
      </c>
      <c r="L46">
        <v>1500</v>
      </c>
      <c r="M46" t="s">
        <v>114</v>
      </c>
      <c r="N46" t="s">
        <v>52</v>
      </c>
      <c r="O46" t="s">
        <v>53</v>
      </c>
      <c r="P46" t="s">
        <v>74</v>
      </c>
      <c r="Q46" t="s">
        <v>133</v>
      </c>
      <c r="R46" t="s">
        <v>134</v>
      </c>
      <c r="S46" t="s">
        <v>30</v>
      </c>
      <c r="T46" t="s">
        <v>31</v>
      </c>
      <c r="U46" t="s">
        <v>30</v>
      </c>
      <c r="V46" t="s">
        <v>31</v>
      </c>
    </row>
    <row r="47" spans="1:22" ht="12.75">
      <c r="A47">
        <v>2019</v>
      </c>
      <c r="B47" t="s">
        <v>112</v>
      </c>
      <c r="C47" t="s">
        <v>23</v>
      </c>
      <c r="D47">
        <f>HYPERLINK("https://www.amazon.com/exec/obidos/ASIN/B07YVGXQ7R","Chromebook 315")</f>
        <v>0</v>
      </c>
      <c r="E47" t="s">
        <v>132</v>
      </c>
      <c r="F47" t="s">
        <v>34</v>
      </c>
      <c r="G47" t="s">
        <v>113</v>
      </c>
      <c r="H47" t="s">
        <v>43</v>
      </c>
      <c r="I47">
        <v>2</v>
      </c>
      <c r="J47">
        <v>1539</v>
      </c>
      <c r="K47">
        <v>2300</v>
      </c>
      <c r="L47">
        <v>1500</v>
      </c>
      <c r="M47" t="s">
        <v>114</v>
      </c>
      <c r="N47" t="s">
        <v>52</v>
      </c>
      <c r="O47" t="s">
        <v>53</v>
      </c>
      <c r="P47" t="s">
        <v>74</v>
      </c>
      <c r="Q47" t="s">
        <v>133</v>
      </c>
      <c r="R47" t="s">
        <v>134</v>
      </c>
      <c r="S47" t="s">
        <v>30</v>
      </c>
      <c r="T47" t="s">
        <v>30</v>
      </c>
      <c r="U47" t="s">
        <v>30</v>
      </c>
      <c r="V47" t="s">
        <v>31</v>
      </c>
    </row>
    <row r="48" spans="1:22" ht="12.75">
      <c r="A48">
        <v>2019</v>
      </c>
      <c r="B48" t="s">
        <v>22</v>
      </c>
      <c r="C48" t="s">
        <v>23</v>
      </c>
      <c r="D48">
        <f>HYPERLINK("https://www.amazon.com/exec/obidos/ASIN/B07Q6NPPT8","Chromebook 315")</f>
        <v>0</v>
      </c>
      <c r="E48" t="s">
        <v>132</v>
      </c>
      <c r="F48" t="s">
        <v>34</v>
      </c>
      <c r="G48" t="s">
        <v>71</v>
      </c>
      <c r="H48" t="s">
        <v>45</v>
      </c>
      <c r="I48">
        <v>2</v>
      </c>
      <c r="J48">
        <v>1962</v>
      </c>
      <c r="K48">
        <v>2500</v>
      </c>
      <c r="L48">
        <v>1650</v>
      </c>
      <c r="M48" t="s">
        <v>26</v>
      </c>
      <c r="N48" t="s">
        <v>52</v>
      </c>
      <c r="O48" t="s">
        <v>28</v>
      </c>
      <c r="P48" t="s">
        <v>74</v>
      </c>
      <c r="Q48" t="s">
        <v>133</v>
      </c>
      <c r="R48" t="s">
        <v>134</v>
      </c>
      <c r="S48" t="s">
        <v>30</v>
      </c>
      <c r="T48" t="s">
        <v>31</v>
      </c>
      <c r="U48" t="s">
        <v>30</v>
      </c>
      <c r="V48" t="s">
        <v>31</v>
      </c>
    </row>
    <row r="49" spans="1:22" ht="12.75">
      <c r="A49">
        <v>2019</v>
      </c>
      <c r="B49" t="s">
        <v>112</v>
      </c>
      <c r="C49" t="s">
        <v>23</v>
      </c>
      <c r="D49">
        <f>HYPERLINK("https://www.amazon.com/exec/obidos/ASIN/B07XJ6ZJY3","Chromebook 315")</f>
        <v>0</v>
      </c>
      <c r="E49" t="s">
        <v>132</v>
      </c>
      <c r="F49" t="s">
        <v>34</v>
      </c>
      <c r="G49" t="s">
        <v>71</v>
      </c>
      <c r="H49" t="s">
        <v>45</v>
      </c>
      <c r="I49">
        <v>2</v>
      </c>
      <c r="J49">
        <v>1962</v>
      </c>
      <c r="K49">
        <v>2500</v>
      </c>
      <c r="L49">
        <v>1650</v>
      </c>
      <c r="M49" t="s">
        <v>26</v>
      </c>
      <c r="N49" t="s">
        <v>27</v>
      </c>
      <c r="O49" t="s">
        <v>28</v>
      </c>
      <c r="P49" t="s">
        <v>74</v>
      </c>
      <c r="Q49" t="s">
        <v>133</v>
      </c>
      <c r="R49" t="s">
        <v>134</v>
      </c>
      <c r="S49" t="s">
        <v>30</v>
      </c>
      <c r="T49" t="s">
        <v>30</v>
      </c>
      <c r="U49" t="s">
        <v>30</v>
      </c>
      <c r="V49" t="s">
        <v>31</v>
      </c>
    </row>
    <row r="50" spans="1:22" ht="12.75">
      <c r="A50">
        <v>2019</v>
      </c>
      <c r="B50" t="s">
        <v>121</v>
      </c>
      <c r="C50" t="s">
        <v>23</v>
      </c>
      <c r="D50">
        <f>HYPERLINK("https://www.amazon.com/exec/obidos/ASIN/B07QN7M5WK","Chromebook 512")</f>
        <v>0</v>
      </c>
      <c r="E50" t="s">
        <v>24</v>
      </c>
      <c r="F50" t="s">
        <v>25</v>
      </c>
      <c r="G50" t="s">
        <v>117</v>
      </c>
      <c r="H50" t="s">
        <v>51</v>
      </c>
      <c r="I50">
        <v>2</v>
      </c>
      <c r="J50">
        <v>1465</v>
      </c>
      <c r="K50">
        <v>3900</v>
      </c>
      <c r="L50">
        <v>2200</v>
      </c>
      <c r="M50" t="s">
        <v>118</v>
      </c>
      <c r="N50" t="s">
        <v>52</v>
      </c>
      <c r="O50" t="s">
        <v>53</v>
      </c>
      <c r="P50" t="s">
        <v>29</v>
      </c>
      <c r="Q50" t="s">
        <v>110</v>
      </c>
      <c r="R50" t="s">
        <v>111</v>
      </c>
      <c r="S50" t="s">
        <v>30</v>
      </c>
      <c r="T50" t="s">
        <v>31</v>
      </c>
      <c r="U50" t="s">
        <v>30</v>
      </c>
      <c r="V50" t="s">
        <v>31</v>
      </c>
    </row>
    <row r="51" spans="1:22" ht="12.75">
      <c r="A51">
        <v>2019</v>
      </c>
      <c r="B51" t="s">
        <v>121</v>
      </c>
      <c r="C51" t="s">
        <v>23</v>
      </c>
      <c r="D51">
        <f>HYPERLINK("https://www.amazon.com/exec/obidos/ASIN/B081ZBYVHV","Chromebook 512")</f>
        <v>0</v>
      </c>
      <c r="E51" t="s">
        <v>24</v>
      </c>
      <c r="F51" t="s">
        <v>25</v>
      </c>
      <c r="G51" t="s">
        <v>117</v>
      </c>
      <c r="H51" t="s">
        <v>51</v>
      </c>
      <c r="I51">
        <v>2</v>
      </c>
      <c r="J51">
        <v>1465</v>
      </c>
      <c r="K51">
        <v>3900</v>
      </c>
      <c r="L51">
        <v>2200</v>
      </c>
      <c r="M51" t="s">
        <v>118</v>
      </c>
      <c r="N51" t="s">
        <v>52</v>
      </c>
      <c r="O51" t="s">
        <v>53</v>
      </c>
      <c r="P51" t="s">
        <v>29</v>
      </c>
      <c r="Q51" t="s">
        <v>110</v>
      </c>
      <c r="R51" t="s">
        <v>111</v>
      </c>
      <c r="S51" t="s">
        <v>30</v>
      </c>
      <c r="T51" t="s">
        <v>30</v>
      </c>
      <c r="U51" t="s">
        <v>30</v>
      </c>
      <c r="V51" t="s">
        <v>31</v>
      </c>
    </row>
    <row r="52" spans="1:22" ht="12.75">
      <c r="A52">
        <v>2019</v>
      </c>
      <c r="B52" t="s">
        <v>136</v>
      </c>
      <c r="C52" t="s">
        <v>23</v>
      </c>
      <c r="D52">
        <f>HYPERLINK("https://www.acer.com/ac/en/US/content/professional-models/laptops/acerchromebook714","Chromebook 714")</f>
        <v>0</v>
      </c>
      <c r="E52" t="s">
        <v>33</v>
      </c>
      <c r="F52" t="s">
        <v>34</v>
      </c>
      <c r="G52" t="s">
        <v>137</v>
      </c>
      <c r="H52" t="s">
        <v>138</v>
      </c>
      <c r="I52">
        <v>2</v>
      </c>
      <c r="J52">
        <v>3190</v>
      </c>
      <c r="K52">
        <v>6000</v>
      </c>
      <c r="L52">
        <v>3100</v>
      </c>
      <c r="M52" t="s">
        <v>26</v>
      </c>
      <c r="N52" t="s">
        <v>98</v>
      </c>
      <c r="O52" t="s">
        <v>28</v>
      </c>
      <c r="P52" t="s">
        <v>29</v>
      </c>
      <c r="Q52" t="s">
        <v>139</v>
      </c>
      <c r="R52" t="s">
        <v>140</v>
      </c>
      <c r="S52" t="s">
        <v>30</v>
      </c>
      <c r="T52" t="s">
        <v>31</v>
      </c>
      <c r="U52" t="s">
        <v>30</v>
      </c>
      <c r="V52" t="s">
        <v>31</v>
      </c>
    </row>
    <row r="53" spans="1:22" ht="12.75">
      <c r="A53">
        <v>2019</v>
      </c>
      <c r="B53" t="s">
        <v>136</v>
      </c>
      <c r="C53" t="s">
        <v>23</v>
      </c>
      <c r="D53">
        <f>HYPERLINK("https://www.amazon.com/exec/obidos/ASIN/B07XMJ7YPC","Chromebook 714")</f>
        <v>0</v>
      </c>
      <c r="E53" t="s">
        <v>33</v>
      </c>
      <c r="F53" t="s">
        <v>34</v>
      </c>
      <c r="G53" t="s">
        <v>141</v>
      </c>
      <c r="H53" t="s">
        <v>142</v>
      </c>
      <c r="I53">
        <v>2</v>
      </c>
      <c r="J53">
        <v>5326</v>
      </c>
      <c r="K53">
        <v>9200</v>
      </c>
      <c r="L53">
        <v>4550</v>
      </c>
      <c r="M53" t="s">
        <v>143</v>
      </c>
      <c r="N53" t="s">
        <v>98</v>
      </c>
      <c r="O53" t="s">
        <v>109</v>
      </c>
      <c r="P53" t="s">
        <v>29</v>
      </c>
      <c r="Q53" t="s">
        <v>139</v>
      </c>
      <c r="R53" t="s">
        <v>140</v>
      </c>
      <c r="S53" t="s">
        <v>30</v>
      </c>
      <c r="T53" t="s">
        <v>30</v>
      </c>
      <c r="U53" t="s">
        <v>30</v>
      </c>
      <c r="V53" t="s">
        <v>31</v>
      </c>
    </row>
    <row r="54" spans="1:22" ht="12.75">
      <c r="A54">
        <v>2019</v>
      </c>
      <c r="B54" t="s">
        <v>136</v>
      </c>
      <c r="C54" t="s">
        <v>23</v>
      </c>
      <c r="D54">
        <f>HYPERLINK("https://www.amazon.com/exec/obidos/ASIN/B07X25S65C","Chromebook 714")</f>
        <v>0</v>
      </c>
      <c r="E54" t="s">
        <v>33</v>
      </c>
      <c r="F54" t="s">
        <v>34</v>
      </c>
      <c r="G54" t="s">
        <v>144</v>
      </c>
      <c r="H54" t="s">
        <v>43</v>
      </c>
      <c r="I54">
        <v>4</v>
      </c>
      <c r="J54">
        <v>7658</v>
      </c>
      <c r="K54">
        <v>15500</v>
      </c>
      <c r="L54">
        <v>4600</v>
      </c>
      <c r="M54" t="s">
        <v>145</v>
      </c>
      <c r="N54" t="s">
        <v>98</v>
      </c>
      <c r="O54" t="s">
        <v>109</v>
      </c>
      <c r="P54" t="s">
        <v>29</v>
      </c>
      <c r="Q54" t="s">
        <v>139</v>
      </c>
      <c r="R54" t="s">
        <v>140</v>
      </c>
      <c r="S54" t="s">
        <v>30</v>
      </c>
      <c r="T54" t="s">
        <v>30</v>
      </c>
      <c r="U54" t="s">
        <v>30</v>
      </c>
      <c r="V54" t="s">
        <v>31</v>
      </c>
    </row>
    <row r="55" spans="1:22" ht="12.75">
      <c r="A55">
        <v>2019</v>
      </c>
      <c r="B55" t="s">
        <v>136</v>
      </c>
      <c r="C55" t="s">
        <v>23</v>
      </c>
      <c r="D55">
        <f>HYPERLINK("https://www.amazon.com/exec/obidos/ASIN/B081872S8J","Chromebook 714")</f>
        <v>0</v>
      </c>
      <c r="E55" t="s">
        <v>33</v>
      </c>
      <c r="F55" t="s">
        <v>34</v>
      </c>
      <c r="G55" t="s">
        <v>106</v>
      </c>
      <c r="H55" t="s">
        <v>107</v>
      </c>
      <c r="I55">
        <v>4</v>
      </c>
      <c r="J55">
        <v>8239</v>
      </c>
      <c r="K55">
        <v>16000</v>
      </c>
      <c r="L55">
        <v>4600</v>
      </c>
      <c r="M55" t="s">
        <v>108</v>
      </c>
      <c r="N55" t="s">
        <v>98</v>
      </c>
      <c r="O55" t="s">
        <v>109</v>
      </c>
      <c r="P55" t="s">
        <v>29</v>
      </c>
      <c r="Q55" t="s">
        <v>139</v>
      </c>
      <c r="R55" t="s">
        <v>140</v>
      </c>
      <c r="S55" t="s">
        <v>30</v>
      </c>
      <c r="T55" t="s">
        <v>30</v>
      </c>
      <c r="U55" t="s">
        <v>30</v>
      </c>
      <c r="V55" t="s">
        <v>31</v>
      </c>
    </row>
    <row r="56" spans="1:22" ht="12.75">
      <c r="A56">
        <v>2019</v>
      </c>
      <c r="B56" t="s">
        <v>112</v>
      </c>
      <c r="C56" t="s">
        <v>23</v>
      </c>
      <c r="D56">
        <f>HYPERLINK("https://www.amazon.com/exec/obidos/ASIN/B07W996BQ5","Chromebook 715")</f>
        <v>0</v>
      </c>
      <c r="E56" t="s">
        <v>132</v>
      </c>
      <c r="F56" t="s">
        <v>34</v>
      </c>
      <c r="G56" t="s">
        <v>137</v>
      </c>
      <c r="H56" t="s">
        <v>138</v>
      </c>
      <c r="I56">
        <v>2</v>
      </c>
      <c r="J56">
        <v>3190</v>
      </c>
      <c r="K56">
        <v>6000</v>
      </c>
      <c r="L56">
        <v>3100</v>
      </c>
      <c r="M56" t="s">
        <v>26</v>
      </c>
      <c r="N56" t="s">
        <v>98</v>
      </c>
      <c r="O56" t="s">
        <v>53</v>
      </c>
      <c r="P56" t="s">
        <v>29</v>
      </c>
      <c r="Q56" t="s">
        <v>146</v>
      </c>
      <c r="R56" t="s">
        <v>147</v>
      </c>
      <c r="S56" t="s">
        <v>30</v>
      </c>
      <c r="T56" t="s">
        <v>31</v>
      </c>
      <c r="U56" t="s">
        <v>30</v>
      </c>
      <c r="V56" t="s">
        <v>31</v>
      </c>
    </row>
    <row r="57" spans="1:22" ht="12.75">
      <c r="A57">
        <v>2019</v>
      </c>
      <c r="B57" t="s">
        <v>112</v>
      </c>
      <c r="C57" t="s">
        <v>23</v>
      </c>
      <c r="D57">
        <f>HYPERLINK("https://www.amazon.com/exec/obidos/ASIN/B07ZS532WR","Chromebook 715")</f>
        <v>0</v>
      </c>
      <c r="E57" t="s">
        <v>132</v>
      </c>
      <c r="F57" t="s">
        <v>34</v>
      </c>
      <c r="G57" t="s">
        <v>137</v>
      </c>
      <c r="H57" t="s">
        <v>138</v>
      </c>
      <c r="I57">
        <v>2</v>
      </c>
      <c r="J57">
        <v>3190</v>
      </c>
      <c r="K57">
        <v>6000</v>
      </c>
      <c r="L57">
        <v>3100</v>
      </c>
      <c r="M57" t="s">
        <v>26</v>
      </c>
      <c r="N57" t="s">
        <v>98</v>
      </c>
      <c r="O57" t="s">
        <v>109</v>
      </c>
      <c r="P57" t="s">
        <v>29</v>
      </c>
      <c r="Q57" t="s">
        <v>146</v>
      </c>
      <c r="R57" t="s">
        <v>147</v>
      </c>
      <c r="S57" t="s">
        <v>30</v>
      </c>
      <c r="T57" t="s">
        <v>30</v>
      </c>
      <c r="U57" t="s">
        <v>30</v>
      </c>
      <c r="V57" t="s">
        <v>31</v>
      </c>
    </row>
    <row r="58" spans="1:22" ht="12.75">
      <c r="A58">
        <v>2019</v>
      </c>
      <c r="B58" t="s">
        <v>112</v>
      </c>
      <c r="C58" t="s">
        <v>23</v>
      </c>
      <c r="D58">
        <f>HYPERLINK("https://www.amazon.com/exec/obidos/ASIN/B07W46221S","Chromebook 715")</f>
        <v>0</v>
      </c>
      <c r="E58" t="s">
        <v>132</v>
      </c>
      <c r="F58" t="s">
        <v>34</v>
      </c>
      <c r="G58" t="s">
        <v>141</v>
      </c>
      <c r="H58" t="s">
        <v>142</v>
      </c>
      <c r="I58">
        <v>2</v>
      </c>
      <c r="J58">
        <v>5326</v>
      </c>
      <c r="K58">
        <v>9200</v>
      </c>
      <c r="L58">
        <v>4550</v>
      </c>
      <c r="M58" t="s">
        <v>143</v>
      </c>
      <c r="N58" t="s">
        <v>98</v>
      </c>
      <c r="O58" t="s">
        <v>109</v>
      </c>
      <c r="P58" t="s">
        <v>29</v>
      </c>
      <c r="Q58" t="s">
        <v>146</v>
      </c>
      <c r="R58" t="s">
        <v>147</v>
      </c>
      <c r="S58" t="s">
        <v>30</v>
      </c>
      <c r="T58" t="s">
        <v>31</v>
      </c>
      <c r="U58" t="s">
        <v>30</v>
      </c>
      <c r="V58" t="s">
        <v>31</v>
      </c>
    </row>
    <row r="59" spans="1:22" ht="12.75">
      <c r="A59">
        <v>2019</v>
      </c>
      <c r="B59" t="s">
        <v>112</v>
      </c>
      <c r="C59" t="s">
        <v>23</v>
      </c>
      <c r="D59">
        <f>HYPERLINK("https://www.amazon.com/exec/obidos/ASIN/B081JD1JC2","Chromebook 715")</f>
        <v>0</v>
      </c>
      <c r="E59" t="s">
        <v>132</v>
      </c>
      <c r="F59" t="s">
        <v>34</v>
      </c>
      <c r="G59" t="s">
        <v>141</v>
      </c>
      <c r="H59" t="s">
        <v>142</v>
      </c>
      <c r="I59">
        <v>2</v>
      </c>
      <c r="J59">
        <v>5326</v>
      </c>
      <c r="K59">
        <v>9200</v>
      </c>
      <c r="L59">
        <v>4550</v>
      </c>
      <c r="M59" t="s">
        <v>143</v>
      </c>
      <c r="N59" t="s">
        <v>27</v>
      </c>
      <c r="O59" t="s">
        <v>89</v>
      </c>
      <c r="P59" t="s">
        <v>29</v>
      </c>
      <c r="Q59" t="s">
        <v>146</v>
      </c>
      <c r="R59" t="s">
        <v>147</v>
      </c>
      <c r="S59" t="s">
        <v>30</v>
      </c>
      <c r="T59" t="s">
        <v>30</v>
      </c>
      <c r="U59" t="s">
        <v>30</v>
      </c>
      <c r="V59" t="s">
        <v>31</v>
      </c>
    </row>
    <row r="60" spans="1:22" ht="12.75">
      <c r="A60">
        <v>2019</v>
      </c>
      <c r="B60" t="s">
        <v>112</v>
      </c>
      <c r="C60" t="s">
        <v>23</v>
      </c>
      <c r="D60">
        <f>HYPERLINK("https://www.acer.com/ac/en/US/content/models/laptops/acerchromebook715","Chromebook 715")</f>
        <v>0</v>
      </c>
      <c r="E60" t="s">
        <v>132</v>
      </c>
      <c r="F60" t="s">
        <v>34</v>
      </c>
      <c r="G60" t="s">
        <v>144</v>
      </c>
      <c r="H60" t="s">
        <v>43</v>
      </c>
      <c r="I60">
        <v>4</v>
      </c>
      <c r="J60">
        <v>7658</v>
      </c>
      <c r="K60">
        <v>15500</v>
      </c>
      <c r="L60">
        <v>4600</v>
      </c>
      <c r="M60" t="s">
        <v>145</v>
      </c>
      <c r="N60" t="s">
        <v>148</v>
      </c>
      <c r="O60" t="s">
        <v>109</v>
      </c>
      <c r="P60" t="s">
        <v>29</v>
      </c>
      <c r="Q60" t="s">
        <v>146</v>
      </c>
      <c r="R60" t="s">
        <v>147</v>
      </c>
      <c r="S60" t="s">
        <v>30</v>
      </c>
      <c r="T60" t="s">
        <v>31</v>
      </c>
      <c r="U60" t="s">
        <v>30</v>
      </c>
      <c r="V60" t="s">
        <v>31</v>
      </c>
    </row>
    <row r="61" spans="1:22" ht="12.75">
      <c r="A61">
        <v>2019</v>
      </c>
      <c r="B61" t="s">
        <v>112</v>
      </c>
      <c r="C61" t="s">
        <v>23</v>
      </c>
      <c r="D61">
        <f>HYPERLINK("https://www.amazon.com/exec/obidos/ASIN/B08186LKJY","Chromebook 715")</f>
        <v>0</v>
      </c>
      <c r="E61" t="s">
        <v>132</v>
      </c>
      <c r="F61" t="s">
        <v>34</v>
      </c>
      <c r="G61" t="s">
        <v>106</v>
      </c>
      <c r="H61" t="s">
        <v>107</v>
      </c>
      <c r="I61">
        <v>4</v>
      </c>
      <c r="J61">
        <v>8239</v>
      </c>
      <c r="K61">
        <v>16000</v>
      </c>
      <c r="L61">
        <v>4600</v>
      </c>
      <c r="M61" t="s">
        <v>108</v>
      </c>
      <c r="N61" t="s">
        <v>98</v>
      </c>
      <c r="O61" t="s">
        <v>109</v>
      </c>
      <c r="P61" t="s">
        <v>29</v>
      </c>
      <c r="Q61" t="s">
        <v>146</v>
      </c>
      <c r="R61" t="s">
        <v>147</v>
      </c>
      <c r="S61" t="s">
        <v>30</v>
      </c>
      <c r="T61" t="s">
        <v>30</v>
      </c>
      <c r="U61" t="s">
        <v>30</v>
      </c>
      <c r="V61" t="s">
        <v>31</v>
      </c>
    </row>
    <row r="62" spans="1:22" ht="12.75">
      <c r="A62">
        <v>2019</v>
      </c>
      <c r="B62" t="s">
        <v>103</v>
      </c>
      <c r="C62" t="s">
        <v>23</v>
      </c>
      <c r="D62">
        <f>HYPERLINK("https://www.amazon.com/exec/obidos/ASIN/B083G37G2G","Chromebook Enterprise 13")</f>
        <v>0</v>
      </c>
      <c r="E62" t="s">
        <v>104</v>
      </c>
      <c r="F62" t="s">
        <v>105</v>
      </c>
      <c r="G62" t="s">
        <v>149</v>
      </c>
      <c r="H62" t="s">
        <v>150</v>
      </c>
      <c r="I62">
        <v>4</v>
      </c>
      <c r="J62">
        <v>8838</v>
      </c>
      <c r="K62">
        <v>18200</v>
      </c>
      <c r="L62">
        <v>5600</v>
      </c>
      <c r="M62" t="s">
        <v>151</v>
      </c>
      <c r="N62" t="s">
        <v>148</v>
      </c>
      <c r="O62" t="s">
        <v>152</v>
      </c>
      <c r="P62" t="s">
        <v>74</v>
      </c>
      <c r="Q62" t="s">
        <v>110</v>
      </c>
      <c r="R62" t="s">
        <v>111</v>
      </c>
      <c r="S62" t="s">
        <v>30</v>
      </c>
      <c r="T62" t="s">
        <v>31</v>
      </c>
      <c r="U62" t="s">
        <v>30</v>
      </c>
      <c r="V62" t="s">
        <v>31</v>
      </c>
    </row>
    <row r="63" spans="1:22" ht="12.75">
      <c r="A63">
        <v>2019</v>
      </c>
      <c r="B63" t="s">
        <v>103</v>
      </c>
      <c r="C63" t="s">
        <v>23</v>
      </c>
      <c r="D63">
        <f>HYPERLINK("https://www.acer.com/ac/en/US/content/professional-model/NX.HAWAA.006","Chromebook Enterprise 714")</f>
        <v>0</v>
      </c>
      <c r="E63" t="s">
        <v>33</v>
      </c>
      <c r="F63" t="s">
        <v>34</v>
      </c>
      <c r="G63" t="s">
        <v>141</v>
      </c>
      <c r="H63" t="s">
        <v>142</v>
      </c>
      <c r="I63">
        <v>2</v>
      </c>
      <c r="J63">
        <v>5326</v>
      </c>
      <c r="K63">
        <v>9200</v>
      </c>
      <c r="L63">
        <v>4550</v>
      </c>
      <c r="M63" t="s">
        <v>143</v>
      </c>
      <c r="N63" t="s">
        <v>98</v>
      </c>
      <c r="O63" t="s">
        <v>109</v>
      </c>
      <c r="P63" t="s">
        <v>26</v>
      </c>
      <c r="Q63" t="s">
        <v>115</v>
      </c>
      <c r="R63" t="s">
        <v>116</v>
      </c>
      <c r="S63" t="s">
        <v>30</v>
      </c>
      <c r="T63" t="s">
        <v>30</v>
      </c>
      <c r="U63" t="s">
        <v>30</v>
      </c>
      <c r="V63" t="s">
        <v>31</v>
      </c>
    </row>
    <row r="64" spans="1:22" ht="12.75">
      <c r="A64">
        <v>2019</v>
      </c>
      <c r="B64" t="s">
        <v>103</v>
      </c>
      <c r="C64" t="s">
        <v>23</v>
      </c>
      <c r="D64">
        <f>HYPERLINK("https://www.acer.com/ac/en/US/content/models/laptops/acerchromebook715","Chromebook Enterprise 715")</f>
        <v>0</v>
      </c>
      <c r="E64" t="s">
        <v>132</v>
      </c>
      <c r="F64" t="s">
        <v>34</v>
      </c>
      <c r="G64" t="s">
        <v>141</v>
      </c>
      <c r="H64" t="s">
        <v>142</v>
      </c>
      <c r="I64">
        <v>2</v>
      </c>
      <c r="J64">
        <v>5326</v>
      </c>
      <c r="K64">
        <v>9200</v>
      </c>
      <c r="L64">
        <v>4550</v>
      </c>
      <c r="M64" t="s">
        <v>143</v>
      </c>
      <c r="N64" t="s">
        <v>98</v>
      </c>
      <c r="O64" t="s">
        <v>109</v>
      </c>
      <c r="P64" t="s">
        <v>29</v>
      </c>
      <c r="Q64" t="s">
        <v>146</v>
      </c>
      <c r="R64" t="s">
        <v>147</v>
      </c>
      <c r="S64" t="s">
        <v>30</v>
      </c>
      <c r="T64" t="s">
        <v>31</v>
      </c>
      <c r="U64" t="s">
        <v>30</v>
      </c>
      <c r="V64" t="s">
        <v>31</v>
      </c>
    </row>
    <row r="65" spans="1:22" ht="12.75">
      <c r="A65">
        <v>2019</v>
      </c>
      <c r="B65" t="s">
        <v>83</v>
      </c>
      <c r="C65" t="s">
        <v>23</v>
      </c>
      <c r="D65">
        <f>HYPERLINK("https://www.amazon.co.uk/exec/obidos/ASIN/B07TVF28XQ","Chromebook Spin 13")</f>
        <v>0</v>
      </c>
      <c r="E65" t="s">
        <v>104</v>
      </c>
      <c r="F65" t="s">
        <v>105</v>
      </c>
      <c r="G65" t="s">
        <v>137</v>
      </c>
      <c r="H65" t="s">
        <v>138</v>
      </c>
      <c r="I65">
        <v>2</v>
      </c>
      <c r="J65">
        <v>3190</v>
      </c>
      <c r="K65">
        <v>6000</v>
      </c>
      <c r="L65">
        <v>3100</v>
      </c>
      <c r="M65" t="s">
        <v>26</v>
      </c>
      <c r="N65" t="s">
        <v>52</v>
      </c>
      <c r="O65" t="s">
        <v>109</v>
      </c>
      <c r="P65" t="s">
        <v>74</v>
      </c>
      <c r="Q65" t="s">
        <v>110</v>
      </c>
      <c r="R65" t="s">
        <v>111</v>
      </c>
      <c r="S65" t="s">
        <v>30</v>
      </c>
      <c r="T65" t="s">
        <v>30</v>
      </c>
      <c r="U65" t="s">
        <v>30</v>
      </c>
      <c r="V65" t="s">
        <v>30</v>
      </c>
    </row>
    <row r="66" spans="1:22" ht="12.75">
      <c r="A66">
        <v>2019</v>
      </c>
      <c r="B66" t="s">
        <v>136</v>
      </c>
      <c r="C66" t="s">
        <v>23</v>
      </c>
      <c r="D66">
        <f>HYPERLINK("https://www.acer.com/ac/en/US/content/professional-models/laptops/acerchromebookspin13","Chromebook Spin 13")</f>
        <v>0</v>
      </c>
      <c r="E66" t="s">
        <v>104</v>
      </c>
      <c r="F66" t="s">
        <v>105</v>
      </c>
      <c r="G66" t="s">
        <v>106</v>
      </c>
      <c r="H66" t="s">
        <v>107</v>
      </c>
      <c r="I66">
        <v>4</v>
      </c>
      <c r="J66">
        <v>8239</v>
      </c>
      <c r="K66">
        <v>16000</v>
      </c>
      <c r="L66">
        <v>4600</v>
      </c>
      <c r="M66" t="s">
        <v>108</v>
      </c>
      <c r="N66" t="s">
        <v>148</v>
      </c>
      <c r="O66" t="s">
        <v>152</v>
      </c>
      <c r="P66" t="s">
        <v>74</v>
      </c>
      <c r="Q66" t="s">
        <v>110</v>
      </c>
      <c r="R66" t="s">
        <v>111</v>
      </c>
      <c r="S66" t="s">
        <v>30</v>
      </c>
      <c r="T66" t="s">
        <v>30</v>
      </c>
      <c r="U66" t="s">
        <v>30</v>
      </c>
      <c r="V66" t="s">
        <v>30</v>
      </c>
    </row>
    <row r="67" spans="1:22" ht="12.75">
      <c r="A67">
        <v>2019</v>
      </c>
      <c r="B67" t="s">
        <v>124</v>
      </c>
      <c r="C67" t="s">
        <v>23</v>
      </c>
      <c r="D67">
        <f>HYPERLINK("https://www.amazon.com/exec/obidos/ASIN/B07XMJ65B5","Chromebook Spin 311")</f>
        <v>0</v>
      </c>
      <c r="E67" t="s">
        <v>48</v>
      </c>
      <c r="F67" t="s">
        <v>49</v>
      </c>
      <c r="G67" t="s">
        <v>117</v>
      </c>
      <c r="H67" t="s">
        <v>51</v>
      </c>
      <c r="I67">
        <v>2</v>
      </c>
      <c r="J67">
        <v>1465</v>
      </c>
      <c r="K67">
        <v>3900</v>
      </c>
      <c r="L67">
        <v>2200</v>
      </c>
      <c r="M67" t="s">
        <v>118</v>
      </c>
      <c r="N67" t="s">
        <v>52</v>
      </c>
      <c r="O67" t="s">
        <v>109</v>
      </c>
      <c r="P67" t="s">
        <v>74</v>
      </c>
      <c r="Q67" t="s">
        <v>153</v>
      </c>
      <c r="R67" t="s">
        <v>154</v>
      </c>
      <c r="S67" t="s">
        <v>30</v>
      </c>
      <c r="T67" t="s">
        <v>30</v>
      </c>
      <c r="U67" t="s">
        <v>30</v>
      </c>
      <c r="V67" t="s">
        <v>31</v>
      </c>
    </row>
    <row r="68" spans="1:22" ht="12.75">
      <c r="A68">
        <v>2019</v>
      </c>
      <c r="B68" t="s">
        <v>124</v>
      </c>
      <c r="C68" t="s">
        <v>23</v>
      </c>
      <c r="D68">
        <f>HYPERLINK("https://www.amazon.com/exec/obidos/ASIN/B07RGC9Q7W","Chromebook Spin 311")</f>
        <v>0</v>
      </c>
      <c r="E68" t="s">
        <v>48</v>
      </c>
      <c r="F68" t="s">
        <v>49</v>
      </c>
      <c r="G68" t="s">
        <v>113</v>
      </c>
      <c r="H68" t="s">
        <v>43</v>
      </c>
      <c r="I68">
        <v>2</v>
      </c>
      <c r="J68">
        <v>1539</v>
      </c>
      <c r="K68">
        <v>2300</v>
      </c>
      <c r="L68">
        <v>1500</v>
      </c>
      <c r="M68" t="s">
        <v>114</v>
      </c>
      <c r="N68" t="s">
        <v>52</v>
      </c>
      <c r="O68" t="s">
        <v>53</v>
      </c>
      <c r="P68" t="s">
        <v>74</v>
      </c>
      <c r="Q68" t="s">
        <v>115</v>
      </c>
      <c r="R68" t="s">
        <v>116</v>
      </c>
      <c r="S68" t="s">
        <v>30</v>
      </c>
      <c r="T68" t="s">
        <v>30</v>
      </c>
      <c r="U68" t="s">
        <v>30</v>
      </c>
      <c r="V68" t="s">
        <v>31</v>
      </c>
    </row>
    <row r="69" spans="1:22" ht="12.75">
      <c r="A69">
        <v>2019</v>
      </c>
      <c r="B69" t="s">
        <v>83</v>
      </c>
      <c r="C69" t="s">
        <v>23</v>
      </c>
      <c r="D69">
        <f>HYPERLINK("https://www.amazon.com/exec/obidos/ASIN/B081Z7PGWQ","Chromebook Spin 511")</f>
        <v>0</v>
      </c>
      <c r="E69" t="s">
        <v>48</v>
      </c>
      <c r="F69" t="s">
        <v>49</v>
      </c>
      <c r="G69" t="s">
        <v>117</v>
      </c>
      <c r="H69" t="s">
        <v>51</v>
      </c>
      <c r="I69">
        <v>2</v>
      </c>
      <c r="J69">
        <v>1465</v>
      </c>
      <c r="K69">
        <v>3900</v>
      </c>
      <c r="L69">
        <v>2200</v>
      </c>
      <c r="M69" t="s">
        <v>118</v>
      </c>
      <c r="N69" t="s">
        <v>52</v>
      </c>
      <c r="O69" t="s">
        <v>53</v>
      </c>
      <c r="P69" t="s">
        <v>74</v>
      </c>
      <c r="Q69" t="s">
        <v>155</v>
      </c>
      <c r="R69" t="s">
        <v>156</v>
      </c>
      <c r="S69" t="s">
        <v>30</v>
      </c>
      <c r="T69" t="s">
        <v>30</v>
      </c>
      <c r="U69" t="s">
        <v>30</v>
      </c>
      <c r="V69" t="s">
        <v>30</v>
      </c>
    </row>
    <row r="70" spans="1:22" ht="12.75">
      <c r="A70">
        <v>2019</v>
      </c>
      <c r="B70" t="s">
        <v>121</v>
      </c>
      <c r="C70" t="s">
        <v>23</v>
      </c>
      <c r="D70">
        <f>HYPERLINK("https://www.amazon.com/exec/obidos/ASIN/B07QPPN4GR","Chromebook Spin 512")</f>
        <v>0</v>
      </c>
      <c r="E70" t="s">
        <v>24</v>
      </c>
      <c r="F70" t="s">
        <v>25</v>
      </c>
      <c r="G70" t="s">
        <v>122</v>
      </c>
      <c r="H70" t="s">
        <v>51</v>
      </c>
      <c r="I70">
        <v>4</v>
      </c>
      <c r="J70">
        <v>2324</v>
      </c>
      <c r="K70">
        <v>6200</v>
      </c>
      <c r="L70">
        <v>2000</v>
      </c>
      <c r="M70" t="s">
        <v>123</v>
      </c>
      <c r="N70" t="s">
        <v>52</v>
      </c>
      <c r="O70" t="s">
        <v>53</v>
      </c>
      <c r="P70" t="s">
        <v>157</v>
      </c>
      <c r="Q70" t="s">
        <v>158</v>
      </c>
      <c r="R70" t="s">
        <v>159</v>
      </c>
      <c r="S70" t="s">
        <v>30</v>
      </c>
      <c r="T70" t="s">
        <v>30</v>
      </c>
      <c r="U70" t="s">
        <v>30</v>
      </c>
      <c r="V70" t="s">
        <v>30</v>
      </c>
    </row>
    <row r="71" spans="1:22" ht="12.75">
      <c r="A71">
        <v>2019</v>
      </c>
      <c r="B71" t="s">
        <v>121</v>
      </c>
      <c r="C71" t="s">
        <v>23</v>
      </c>
      <c r="D71">
        <f>HYPERLINK("https://www.amazon.co.uk/exec/obidos/ASIN/B07RGRRMHB","Chromebook Spin 512")</f>
        <v>0</v>
      </c>
      <c r="E71" t="s">
        <v>24</v>
      </c>
      <c r="F71" t="s">
        <v>25</v>
      </c>
      <c r="G71" t="s">
        <v>160</v>
      </c>
      <c r="H71" t="s">
        <v>51</v>
      </c>
      <c r="I71">
        <v>4</v>
      </c>
      <c r="J71">
        <v>2452</v>
      </c>
      <c r="K71">
        <v>6700</v>
      </c>
      <c r="L71">
        <v>2200</v>
      </c>
      <c r="M71" t="s">
        <v>161</v>
      </c>
      <c r="N71" t="s">
        <v>98</v>
      </c>
      <c r="O71" t="s">
        <v>109</v>
      </c>
      <c r="P71" t="s">
        <v>157</v>
      </c>
      <c r="Q71" t="s">
        <v>158</v>
      </c>
      <c r="R71" t="s">
        <v>159</v>
      </c>
      <c r="S71" t="s">
        <v>30</v>
      </c>
      <c r="T71" t="s">
        <v>30</v>
      </c>
      <c r="U71" t="s">
        <v>30</v>
      </c>
      <c r="V71" t="s">
        <v>30</v>
      </c>
    </row>
    <row r="72" spans="1:22" ht="12.75">
      <c r="A72">
        <v>2019</v>
      </c>
      <c r="B72" t="s">
        <v>136</v>
      </c>
      <c r="C72" t="s">
        <v>162</v>
      </c>
      <c r="D72">
        <f>HYPERLINK("https://www.amazon.com/exec/obidos/ASIN/B07Z5CL725","Chromebook Commercial Tab")</f>
        <v>0</v>
      </c>
      <c r="E72" t="s">
        <v>163</v>
      </c>
      <c r="F72" t="s">
        <v>164</v>
      </c>
      <c r="G72" t="s">
        <v>165</v>
      </c>
      <c r="H72" t="s">
        <v>43</v>
      </c>
      <c r="I72">
        <v>6</v>
      </c>
      <c r="J72" t="s">
        <v>26</v>
      </c>
      <c r="K72">
        <v>3900</v>
      </c>
      <c r="L72">
        <v>1600</v>
      </c>
      <c r="M72" t="s">
        <v>166</v>
      </c>
      <c r="N72" t="s">
        <v>52</v>
      </c>
      <c r="O72" t="s">
        <v>53</v>
      </c>
      <c r="P72" t="s">
        <v>74</v>
      </c>
      <c r="Q72" t="s">
        <v>167</v>
      </c>
      <c r="R72" t="s">
        <v>168</v>
      </c>
      <c r="S72" t="s">
        <v>30</v>
      </c>
      <c r="T72" t="s">
        <v>30</v>
      </c>
      <c r="U72" t="s">
        <v>30</v>
      </c>
      <c r="V72" t="s">
        <v>30</v>
      </c>
    </row>
    <row r="73" spans="1:22" ht="12.75">
      <c r="A73">
        <v>2019</v>
      </c>
      <c r="B73" t="s">
        <v>169</v>
      </c>
      <c r="C73" t="s">
        <v>32</v>
      </c>
      <c r="D73">
        <f>HYPERLINK("https://www.asus.com/Laptops/ASUS-Chromebook-C202XA/","C202XA")</f>
        <v>0</v>
      </c>
      <c r="E73" t="s">
        <v>48</v>
      </c>
      <c r="F73" t="s">
        <v>49</v>
      </c>
      <c r="G73" t="s">
        <v>170</v>
      </c>
      <c r="H73" t="s">
        <v>36</v>
      </c>
      <c r="I73">
        <v>4</v>
      </c>
      <c r="J73" t="s">
        <v>26</v>
      </c>
      <c r="K73">
        <v>2950</v>
      </c>
      <c r="L73">
        <v>1450</v>
      </c>
      <c r="M73" t="s">
        <v>171</v>
      </c>
      <c r="N73" t="s">
        <v>52</v>
      </c>
      <c r="O73" t="s">
        <v>53</v>
      </c>
      <c r="P73" t="s">
        <v>74</v>
      </c>
      <c r="Q73" t="s">
        <v>153</v>
      </c>
      <c r="R73" t="s">
        <v>154</v>
      </c>
      <c r="S73" t="s">
        <v>31</v>
      </c>
      <c r="T73" t="s">
        <v>31</v>
      </c>
      <c r="U73" t="s">
        <v>30</v>
      </c>
      <c r="V73" t="s">
        <v>31</v>
      </c>
    </row>
    <row r="74" spans="1:22" ht="12.75">
      <c r="A74">
        <v>2019</v>
      </c>
      <c r="B74" t="s">
        <v>92</v>
      </c>
      <c r="C74" t="s">
        <v>32</v>
      </c>
      <c r="D74">
        <f>HYPERLINK("https://www.amazon.com/exec/obidos/ASIN/B07SR4Y3PY","C204EE")</f>
        <v>0</v>
      </c>
      <c r="E74" t="s">
        <v>48</v>
      </c>
      <c r="F74" t="s">
        <v>49</v>
      </c>
      <c r="G74" t="s">
        <v>117</v>
      </c>
      <c r="H74" t="s">
        <v>51</v>
      </c>
      <c r="I74">
        <v>2</v>
      </c>
      <c r="J74">
        <v>1465</v>
      </c>
      <c r="K74">
        <v>3900</v>
      </c>
      <c r="L74">
        <v>2200</v>
      </c>
      <c r="M74" t="s">
        <v>118</v>
      </c>
      <c r="N74" t="s">
        <v>52</v>
      </c>
      <c r="O74" t="s">
        <v>73</v>
      </c>
      <c r="P74" t="s">
        <v>29</v>
      </c>
      <c r="Q74" t="s">
        <v>172</v>
      </c>
      <c r="R74" t="s">
        <v>41</v>
      </c>
      <c r="S74" t="s">
        <v>31</v>
      </c>
      <c r="T74" t="s">
        <v>31</v>
      </c>
      <c r="U74" t="s">
        <v>30</v>
      </c>
      <c r="V74" t="s">
        <v>31</v>
      </c>
    </row>
    <row r="75" spans="1:22" ht="12.75">
      <c r="A75">
        <v>2019</v>
      </c>
      <c r="B75" t="s">
        <v>112</v>
      </c>
      <c r="C75" t="s">
        <v>32</v>
      </c>
      <c r="D75">
        <f>HYPERLINK("https://www.amazon.ca/exec/obidos/ASIN/B07YNX4C95","C204MA")</f>
        <v>0</v>
      </c>
      <c r="E75" t="s">
        <v>48</v>
      </c>
      <c r="F75" t="s">
        <v>49</v>
      </c>
      <c r="G75" t="s">
        <v>117</v>
      </c>
      <c r="H75" t="s">
        <v>51</v>
      </c>
      <c r="I75">
        <v>2</v>
      </c>
      <c r="J75">
        <v>1465</v>
      </c>
      <c r="K75">
        <v>3900</v>
      </c>
      <c r="L75">
        <v>2200</v>
      </c>
      <c r="M75" t="s">
        <v>118</v>
      </c>
      <c r="N75" t="s">
        <v>52</v>
      </c>
      <c r="O75" t="s">
        <v>53</v>
      </c>
      <c r="P75" t="s">
        <v>173</v>
      </c>
      <c r="Q75" t="s">
        <v>153</v>
      </c>
      <c r="R75" t="s">
        <v>154</v>
      </c>
      <c r="S75" t="s">
        <v>31</v>
      </c>
      <c r="T75" t="s">
        <v>31</v>
      </c>
      <c r="U75" t="s">
        <v>30</v>
      </c>
      <c r="V75" t="s">
        <v>31</v>
      </c>
    </row>
    <row r="76" spans="1:22" ht="12.75">
      <c r="A76">
        <v>2019</v>
      </c>
      <c r="B76" t="s">
        <v>22</v>
      </c>
      <c r="C76" t="s">
        <v>32</v>
      </c>
      <c r="D76">
        <f>HYPERLINK("https://www.amazon.com/exec/obidos/ASIN/B07PNJGTF9","C403NA")</f>
        <v>0</v>
      </c>
      <c r="E76" t="s">
        <v>33</v>
      </c>
      <c r="F76" t="s">
        <v>49</v>
      </c>
      <c r="G76" t="s">
        <v>174</v>
      </c>
      <c r="H76" t="s">
        <v>51</v>
      </c>
      <c r="I76">
        <v>2</v>
      </c>
      <c r="J76">
        <v>1144</v>
      </c>
      <c r="K76">
        <v>2900</v>
      </c>
      <c r="L76">
        <v>1650</v>
      </c>
      <c r="M76" t="s">
        <v>166</v>
      </c>
      <c r="N76" t="s">
        <v>52</v>
      </c>
      <c r="O76" t="s">
        <v>53</v>
      </c>
      <c r="P76" t="s">
        <v>74</v>
      </c>
      <c r="Q76" t="s">
        <v>128</v>
      </c>
      <c r="R76" t="s">
        <v>129</v>
      </c>
      <c r="S76" t="s">
        <v>31</v>
      </c>
      <c r="T76" t="s">
        <v>31</v>
      </c>
      <c r="U76" t="s">
        <v>30</v>
      </c>
      <c r="V76" t="s">
        <v>31</v>
      </c>
    </row>
    <row r="77" spans="1:22" ht="12.75">
      <c r="A77">
        <v>2019</v>
      </c>
      <c r="B77" t="s">
        <v>136</v>
      </c>
      <c r="C77" t="s">
        <v>32</v>
      </c>
      <c r="D77">
        <f>HYPERLINK("https://www.amazon.com/exec/obidos/ASIN/B07VT254P6","C425")</f>
        <v>0</v>
      </c>
      <c r="E77" t="s">
        <v>33</v>
      </c>
      <c r="F77" t="s">
        <v>34</v>
      </c>
      <c r="G77" t="s">
        <v>175</v>
      </c>
      <c r="H77" t="s">
        <v>51</v>
      </c>
      <c r="I77">
        <v>2</v>
      </c>
      <c r="J77">
        <v>3461</v>
      </c>
      <c r="K77">
        <v>7200</v>
      </c>
      <c r="L77">
        <v>4000</v>
      </c>
      <c r="M77" t="s">
        <v>176</v>
      </c>
      <c r="N77" t="s">
        <v>27</v>
      </c>
      <c r="O77" t="s">
        <v>89</v>
      </c>
      <c r="P77" t="s">
        <v>29</v>
      </c>
      <c r="Q77" t="s">
        <v>177</v>
      </c>
      <c r="R77" t="s">
        <v>178</v>
      </c>
      <c r="S77" t="s">
        <v>30</v>
      </c>
      <c r="T77" t="s">
        <v>31</v>
      </c>
      <c r="U77" t="s">
        <v>30</v>
      </c>
      <c r="V77" t="s">
        <v>31</v>
      </c>
    </row>
    <row r="78" spans="1:22" ht="12.75">
      <c r="A78">
        <v>2019</v>
      </c>
      <c r="B78" t="s">
        <v>121</v>
      </c>
      <c r="C78" t="s">
        <v>32</v>
      </c>
      <c r="D78">
        <f>HYPERLINK("https://www.amazon.com/exec/obidos/ASIN/B07QHFRV3M","CT100 (tablet)")</f>
        <v>0</v>
      </c>
      <c r="E78" t="s">
        <v>163</v>
      </c>
      <c r="F78" t="s">
        <v>164</v>
      </c>
      <c r="G78" t="s">
        <v>165</v>
      </c>
      <c r="H78" t="s">
        <v>43</v>
      </c>
      <c r="I78">
        <v>6</v>
      </c>
      <c r="J78" t="s">
        <v>26</v>
      </c>
      <c r="K78">
        <v>3900</v>
      </c>
      <c r="L78">
        <v>1600</v>
      </c>
      <c r="M78" t="s">
        <v>166</v>
      </c>
      <c r="N78" t="s">
        <v>52</v>
      </c>
      <c r="O78" t="s">
        <v>53</v>
      </c>
      <c r="P78" t="s">
        <v>179</v>
      </c>
      <c r="Q78" t="s">
        <v>180</v>
      </c>
      <c r="R78" t="s">
        <v>181</v>
      </c>
      <c r="S78" t="s">
        <v>31</v>
      </c>
      <c r="T78" t="s">
        <v>30</v>
      </c>
      <c r="U78" t="s">
        <v>30</v>
      </c>
      <c r="V78" t="s">
        <v>30</v>
      </c>
    </row>
    <row r="79" spans="1:22" ht="12.75">
      <c r="A79">
        <v>2019</v>
      </c>
      <c r="B79" t="s">
        <v>121</v>
      </c>
      <c r="C79" t="s">
        <v>32</v>
      </c>
      <c r="D79">
        <f>HYPERLINK("https://www.amazon.com/exec/obidos/ASIN/B07R2YBG94","Flip C214")</f>
        <v>0</v>
      </c>
      <c r="E79" t="s">
        <v>48</v>
      </c>
      <c r="F79" t="s">
        <v>49</v>
      </c>
      <c r="G79" t="s">
        <v>117</v>
      </c>
      <c r="H79" t="s">
        <v>51</v>
      </c>
      <c r="I79">
        <v>2</v>
      </c>
      <c r="J79">
        <v>1465</v>
      </c>
      <c r="K79">
        <v>3900</v>
      </c>
      <c r="L79">
        <v>2200</v>
      </c>
      <c r="M79" t="s">
        <v>118</v>
      </c>
      <c r="N79" t="s">
        <v>52</v>
      </c>
      <c r="O79" t="s">
        <v>53</v>
      </c>
      <c r="P79" t="s">
        <v>29</v>
      </c>
      <c r="Q79" t="s">
        <v>153</v>
      </c>
      <c r="R79" t="s">
        <v>154</v>
      </c>
      <c r="S79" t="s">
        <v>30</v>
      </c>
      <c r="T79" t="s">
        <v>30</v>
      </c>
      <c r="U79" t="s">
        <v>30</v>
      </c>
      <c r="V79" t="s">
        <v>30</v>
      </c>
    </row>
    <row r="80" spans="1:22" ht="12.75">
      <c r="A80">
        <v>2019</v>
      </c>
      <c r="B80" t="s">
        <v>124</v>
      </c>
      <c r="C80" t="s">
        <v>32</v>
      </c>
      <c r="D80">
        <f>HYPERLINK("https://www.amazon.com/exec/obidos/ASIN/B08121WY1B","Flip C433")</f>
        <v>0</v>
      </c>
      <c r="E80" t="s">
        <v>33</v>
      </c>
      <c r="F80" t="s">
        <v>34</v>
      </c>
      <c r="G80" t="s">
        <v>175</v>
      </c>
      <c r="H80" t="s">
        <v>51</v>
      </c>
      <c r="I80">
        <v>2</v>
      </c>
      <c r="J80">
        <v>3461</v>
      </c>
      <c r="K80">
        <v>7200</v>
      </c>
      <c r="L80">
        <v>4000</v>
      </c>
      <c r="M80" t="s">
        <v>176</v>
      </c>
      <c r="N80" t="s">
        <v>52</v>
      </c>
      <c r="O80" t="s">
        <v>109</v>
      </c>
      <c r="P80" t="s">
        <v>74</v>
      </c>
      <c r="Q80" t="s">
        <v>182</v>
      </c>
      <c r="R80" t="s">
        <v>183</v>
      </c>
      <c r="S80" t="s">
        <v>30</v>
      </c>
      <c r="T80" t="s">
        <v>30</v>
      </c>
      <c r="U80" t="s">
        <v>30</v>
      </c>
      <c r="V80" t="s">
        <v>31</v>
      </c>
    </row>
    <row r="81" spans="1:22" ht="12.75">
      <c r="A81">
        <v>2019</v>
      </c>
      <c r="B81" t="s">
        <v>124</v>
      </c>
      <c r="C81" t="s">
        <v>32</v>
      </c>
      <c r="D81">
        <f>HYPERLINK("https://uk.store.asus.com/asus-chromebook-flip-blue-silver-c433ta-aj0046-14-full-hd-touchscreen-display-convertible-intel-core-i5-8200y-processor-8gb-ram-128gb-storage-chrome-os.html","Flip C433")</f>
        <v>0</v>
      </c>
      <c r="E81" t="s">
        <v>33</v>
      </c>
      <c r="F81" t="s">
        <v>34</v>
      </c>
      <c r="G81" t="s">
        <v>184</v>
      </c>
      <c r="H81" t="s">
        <v>185</v>
      </c>
      <c r="I81">
        <v>2</v>
      </c>
      <c r="J81">
        <v>4206</v>
      </c>
      <c r="K81">
        <v>8150</v>
      </c>
      <c r="L81">
        <v>4500</v>
      </c>
      <c r="M81" t="s">
        <v>186</v>
      </c>
      <c r="N81" t="s">
        <v>98</v>
      </c>
      <c r="O81" t="s">
        <v>152</v>
      </c>
      <c r="P81" t="s">
        <v>74</v>
      </c>
      <c r="Q81" t="s">
        <v>182</v>
      </c>
      <c r="R81" t="s">
        <v>183</v>
      </c>
      <c r="S81" t="s">
        <v>30</v>
      </c>
      <c r="T81" t="s">
        <v>30</v>
      </c>
      <c r="U81" t="s">
        <v>30</v>
      </c>
      <c r="V81" t="s">
        <v>31</v>
      </c>
    </row>
    <row r="82" spans="1:22" ht="12.75">
      <c r="A82">
        <v>2019</v>
      </c>
      <c r="B82" t="s">
        <v>22</v>
      </c>
      <c r="C82" t="s">
        <v>32</v>
      </c>
      <c r="D82">
        <f>HYPERLINK("https://www.amazon.com/exec/obidos/ASIN/B07Q2RB6BY","Flip C434")</f>
        <v>0</v>
      </c>
      <c r="E82" t="s">
        <v>33</v>
      </c>
      <c r="F82" t="s">
        <v>34</v>
      </c>
      <c r="G82" t="s">
        <v>175</v>
      </c>
      <c r="H82" t="s">
        <v>51</v>
      </c>
      <c r="I82">
        <v>2</v>
      </c>
      <c r="J82">
        <v>3461</v>
      </c>
      <c r="K82">
        <v>7200</v>
      </c>
      <c r="L82">
        <v>4000</v>
      </c>
      <c r="M82" t="s">
        <v>176</v>
      </c>
      <c r="N82" t="s">
        <v>27</v>
      </c>
      <c r="O82" t="s">
        <v>89</v>
      </c>
      <c r="P82" t="s">
        <v>74</v>
      </c>
      <c r="Q82" t="s">
        <v>187</v>
      </c>
      <c r="R82" t="s">
        <v>82</v>
      </c>
      <c r="S82" t="s">
        <v>30</v>
      </c>
      <c r="T82" t="s">
        <v>30</v>
      </c>
      <c r="U82" t="s">
        <v>30</v>
      </c>
      <c r="V82" t="s">
        <v>31</v>
      </c>
    </row>
    <row r="83" spans="1:22" ht="12.75">
      <c r="A83">
        <v>2019</v>
      </c>
      <c r="B83" t="s">
        <v>135</v>
      </c>
      <c r="C83" t="s">
        <v>32</v>
      </c>
      <c r="D83">
        <f>HYPERLINK("https://www.amazon.com/exec/obidos/ASIN/B07QW3JF9V","Flip C434")</f>
        <v>0</v>
      </c>
      <c r="E83" t="s">
        <v>33</v>
      </c>
      <c r="F83" t="s">
        <v>34</v>
      </c>
      <c r="G83" t="s">
        <v>184</v>
      </c>
      <c r="H83" t="s">
        <v>185</v>
      </c>
      <c r="I83">
        <v>2</v>
      </c>
      <c r="J83">
        <v>4206</v>
      </c>
      <c r="K83">
        <v>8150</v>
      </c>
      <c r="L83">
        <v>4500</v>
      </c>
      <c r="M83" t="s">
        <v>186</v>
      </c>
      <c r="N83" t="s">
        <v>27</v>
      </c>
      <c r="O83" t="s">
        <v>89</v>
      </c>
      <c r="P83" t="s">
        <v>74</v>
      </c>
      <c r="Q83" t="s">
        <v>187</v>
      </c>
      <c r="R83" t="s">
        <v>82</v>
      </c>
      <c r="S83" t="s">
        <v>30</v>
      </c>
      <c r="T83" t="s">
        <v>30</v>
      </c>
      <c r="U83" t="s">
        <v>30</v>
      </c>
      <c r="V83" t="s">
        <v>31</v>
      </c>
    </row>
    <row r="84" spans="1:22" ht="12.75">
      <c r="A84">
        <v>2019</v>
      </c>
      <c r="B84" t="s">
        <v>63</v>
      </c>
      <c r="C84" t="s">
        <v>47</v>
      </c>
      <c r="D84">
        <f>HYPERLINK("https://ctl.net/products/ctl-chrome-tablet-tx1","Chromebook Tab Tx1 (tablet)")</f>
        <v>0</v>
      </c>
      <c r="E84" t="s">
        <v>163</v>
      </c>
      <c r="F84" t="s">
        <v>164</v>
      </c>
      <c r="G84" t="s">
        <v>165</v>
      </c>
      <c r="H84" t="s">
        <v>43</v>
      </c>
      <c r="I84">
        <v>6</v>
      </c>
      <c r="J84" t="s">
        <v>26</v>
      </c>
      <c r="K84">
        <v>3900</v>
      </c>
      <c r="L84">
        <v>1600</v>
      </c>
      <c r="M84">
        <v>11000</v>
      </c>
      <c r="N84" t="s">
        <v>52</v>
      </c>
      <c r="O84" t="s">
        <v>53</v>
      </c>
      <c r="P84" t="s">
        <v>74</v>
      </c>
      <c r="Q84" t="s">
        <v>188</v>
      </c>
      <c r="R84" t="s">
        <v>189</v>
      </c>
      <c r="S84" t="s">
        <v>30</v>
      </c>
      <c r="T84" t="s">
        <v>30</v>
      </c>
      <c r="U84" t="s">
        <v>30</v>
      </c>
      <c r="V84" t="s">
        <v>30</v>
      </c>
    </row>
    <row r="85" spans="1:22" ht="12.75">
      <c r="A85">
        <v>2019</v>
      </c>
      <c r="B85" t="s">
        <v>121</v>
      </c>
      <c r="C85" t="s">
        <v>190</v>
      </c>
      <c r="D85">
        <f>HYPERLINK("https://www.amazon.com/exec/obidos/ASIN/B07QKG3YNY","Chromebook 11 3100")</f>
        <v>0</v>
      </c>
      <c r="E85" t="s">
        <v>48</v>
      </c>
      <c r="F85" t="s">
        <v>49</v>
      </c>
      <c r="G85" t="s">
        <v>117</v>
      </c>
      <c r="H85" t="s">
        <v>51</v>
      </c>
      <c r="I85">
        <v>2</v>
      </c>
      <c r="J85">
        <v>1465</v>
      </c>
      <c r="K85">
        <v>3900</v>
      </c>
      <c r="L85">
        <v>2200</v>
      </c>
      <c r="M85" t="s">
        <v>118</v>
      </c>
      <c r="N85" t="s">
        <v>52</v>
      </c>
      <c r="O85" t="s">
        <v>73</v>
      </c>
      <c r="P85" t="s">
        <v>173</v>
      </c>
      <c r="Q85" t="s">
        <v>61</v>
      </c>
      <c r="R85" t="s">
        <v>62</v>
      </c>
      <c r="S85" t="s">
        <v>31</v>
      </c>
      <c r="T85" t="s">
        <v>31</v>
      </c>
      <c r="U85" t="s">
        <v>30</v>
      </c>
      <c r="V85" t="s">
        <v>31</v>
      </c>
    </row>
    <row r="86" spans="1:22" ht="12.75">
      <c r="A86">
        <v>2019</v>
      </c>
      <c r="B86" t="s">
        <v>121</v>
      </c>
      <c r="C86" t="s">
        <v>190</v>
      </c>
      <c r="D86">
        <f>HYPERLINK("https://www.amazon.com/exec/obidos/ASIN/B07QF1169F","Chromebook 11 3100")</f>
        <v>0</v>
      </c>
      <c r="E86" t="s">
        <v>48</v>
      </c>
      <c r="F86" t="s">
        <v>49</v>
      </c>
      <c r="G86" t="s">
        <v>117</v>
      </c>
      <c r="H86" t="s">
        <v>51</v>
      </c>
      <c r="I86">
        <v>2</v>
      </c>
      <c r="J86">
        <v>1465</v>
      </c>
      <c r="K86">
        <v>3900</v>
      </c>
      <c r="L86">
        <v>2200</v>
      </c>
      <c r="M86" t="s">
        <v>118</v>
      </c>
      <c r="N86" t="s">
        <v>52</v>
      </c>
      <c r="O86" t="s">
        <v>53</v>
      </c>
      <c r="P86" t="s">
        <v>173</v>
      </c>
      <c r="Q86" t="s">
        <v>61</v>
      </c>
      <c r="R86" t="s">
        <v>62</v>
      </c>
      <c r="S86" t="s">
        <v>31</v>
      </c>
      <c r="T86" t="s">
        <v>30</v>
      </c>
      <c r="U86" t="s">
        <v>30</v>
      </c>
      <c r="V86" t="s">
        <v>31</v>
      </c>
    </row>
    <row r="87" spans="1:22" ht="12.75">
      <c r="A87">
        <v>2019</v>
      </c>
      <c r="B87" t="s">
        <v>121</v>
      </c>
      <c r="C87" t="s">
        <v>190</v>
      </c>
      <c r="D87">
        <f>HYPERLINK("https://www.amazon.com/exec/obidos/ASIN/B07QH7Y3MB","Chromebook 11 3100 (2-in-1)")</f>
        <v>0</v>
      </c>
      <c r="E87" t="s">
        <v>48</v>
      </c>
      <c r="F87" t="s">
        <v>49</v>
      </c>
      <c r="G87" t="s">
        <v>117</v>
      </c>
      <c r="H87" t="s">
        <v>51</v>
      </c>
      <c r="I87">
        <v>2</v>
      </c>
      <c r="J87">
        <v>1465</v>
      </c>
      <c r="K87">
        <v>3900</v>
      </c>
      <c r="L87">
        <v>2200</v>
      </c>
      <c r="M87" t="s">
        <v>118</v>
      </c>
      <c r="N87" t="s">
        <v>27</v>
      </c>
      <c r="O87" t="s">
        <v>28</v>
      </c>
      <c r="P87" t="s">
        <v>80</v>
      </c>
      <c r="Q87" t="s">
        <v>191</v>
      </c>
      <c r="R87" t="s">
        <v>192</v>
      </c>
      <c r="S87" t="s">
        <v>30</v>
      </c>
      <c r="T87" t="s">
        <v>30</v>
      </c>
      <c r="U87" t="s">
        <v>30</v>
      </c>
      <c r="V87" t="s">
        <v>31</v>
      </c>
    </row>
    <row r="88" spans="1:22" ht="12.75">
      <c r="A88">
        <v>2019</v>
      </c>
      <c r="B88" t="s">
        <v>83</v>
      </c>
      <c r="C88" t="s">
        <v>190</v>
      </c>
      <c r="D88">
        <f>HYPERLINK("https://www.amazon.com/exec/obidos/ASIN/B07QG3Z9MX","Chromebook 14 3400")</f>
        <v>0</v>
      </c>
      <c r="E88" t="s">
        <v>33</v>
      </c>
      <c r="F88" t="s">
        <v>49</v>
      </c>
      <c r="G88" t="s">
        <v>117</v>
      </c>
      <c r="H88" t="s">
        <v>51</v>
      </c>
      <c r="I88">
        <v>2</v>
      </c>
      <c r="J88">
        <v>1465</v>
      </c>
      <c r="K88">
        <v>3900</v>
      </c>
      <c r="L88">
        <v>2200</v>
      </c>
      <c r="M88" t="s">
        <v>118</v>
      </c>
      <c r="N88" t="s">
        <v>52</v>
      </c>
      <c r="O88" t="s">
        <v>28</v>
      </c>
      <c r="P88" t="s">
        <v>29</v>
      </c>
      <c r="Q88" t="s">
        <v>193</v>
      </c>
      <c r="R88" t="s">
        <v>194</v>
      </c>
      <c r="S88" t="s">
        <v>31</v>
      </c>
      <c r="T88" t="s">
        <v>31</v>
      </c>
      <c r="U88" t="s">
        <v>30</v>
      </c>
      <c r="V88" t="s">
        <v>31</v>
      </c>
    </row>
    <row r="89" spans="1:22" ht="12.75">
      <c r="A89">
        <v>2019</v>
      </c>
      <c r="B89" t="s">
        <v>83</v>
      </c>
      <c r="C89" t="s">
        <v>190</v>
      </c>
      <c r="D89">
        <f>HYPERLINK("https://www.dell.com/en-us/work/shop/dell-laptops-and-notebooks/chromebook-3400-education/spd/chromebook-14-3400-laptop","Chromebook 14 3400")</f>
        <v>0</v>
      </c>
      <c r="E89" t="s">
        <v>33</v>
      </c>
      <c r="F89" t="s">
        <v>34</v>
      </c>
      <c r="G89" t="s">
        <v>117</v>
      </c>
      <c r="H89" t="s">
        <v>51</v>
      </c>
      <c r="I89">
        <v>2</v>
      </c>
      <c r="J89">
        <v>1465</v>
      </c>
      <c r="K89">
        <v>3900</v>
      </c>
      <c r="L89">
        <v>2200</v>
      </c>
      <c r="M89" t="s">
        <v>118</v>
      </c>
      <c r="N89" t="s">
        <v>52</v>
      </c>
      <c r="O89" t="s">
        <v>28</v>
      </c>
      <c r="P89" t="s">
        <v>29</v>
      </c>
      <c r="Q89" t="s">
        <v>193</v>
      </c>
      <c r="R89" t="s">
        <v>194</v>
      </c>
      <c r="S89" t="s">
        <v>30</v>
      </c>
      <c r="T89" t="s">
        <v>31</v>
      </c>
      <c r="U89" t="s">
        <v>30</v>
      </c>
      <c r="V89" t="s">
        <v>31</v>
      </c>
    </row>
    <row r="90" spans="1:22" ht="12.75">
      <c r="A90">
        <v>2019</v>
      </c>
      <c r="B90" t="s">
        <v>83</v>
      </c>
      <c r="C90" t="s">
        <v>190</v>
      </c>
      <c r="D90">
        <f>HYPERLINK("https://www.dell.com/en-uk/work/shop/dell-laptops-and-notebooks/chromebook-3400-education/spd/chromebook-14-3400-laptop","Chromebook 14 3400 (UK)")</f>
        <v>0</v>
      </c>
      <c r="E90" t="s">
        <v>33</v>
      </c>
      <c r="F90" t="s">
        <v>49</v>
      </c>
      <c r="G90" t="s">
        <v>122</v>
      </c>
      <c r="H90" t="s">
        <v>51</v>
      </c>
      <c r="I90">
        <v>4</v>
      </c>
      <c r="J90">
        <v>2324</v>
      </c>
      <c r="K90">
        <v>6200</v>
      </c>
      <c r="L90">
        <v>2000</v>
      </c>
      <c r="M90" t="s">
        <v>123</v>
      </c>
      <c r="N90" t="s">
        <v>98</v>
      </c>
      <c r="O90" t="s">
        <v>109</v>
      </c>
      <c r="P90" t="s">
        <v>29</v>
      </c>
      <c r="Q90" t="s">
        <v>193</v>
      </c>
      <c r="R90" t="s">
        <v>194</v>
      </c>
      <c r="S90" t="s">
        <v>31</v>
      </c>
      <c r="T90" t="s">
        <v>31</v>
      </c>
      <c r="U90" t="s">
        <v>30</v>
      </c>
      <c r="V90" t="s">
        <v>31</v>
      </c>
    </row>
    <row r="91" spans="1:22" ht="12.75">
      <c r="A91">
        <v>2019</v>
      </c>
      <c r="B91" t="s">
        <v>83</v>
      </c>
      <c r="C91" t="s">
        <v>190</v>
      </c>
      <c r="D91">
        <f>HYPERLINK("https://www.dell.com/en-us/work/shop/dell-laptops-and-notebooks/chromebook-3400-education/spd/chromebook-14-3400-laptop","Chromebook 14 3400 (US)")</f>
        <v>0</v>
      </c>
      <c r="E91" t="s">
        <v>33</v>
      </c>
      <c r="F91" t="s">
        <v>34</v>
      </c>
      <c r="G91" t="s">
        <v>122</v>
      </c>
      <c r="H91" t="s">
        <v>51</v>
      </c>
      <c r="I91">
        <v>4</v>
      </c>
      <c r="J91">
        <v>2324</v>
      </c>
      <c r="K91">
        <v>6200</v>
      </c>
      <c r="L91">
        <v>2000</v>
      </c>
      <c r="M91" t="s">
        <v>123</v>
      </c>
      <c r="N91" t="s">
        <v>98</v>
      </c>
      <c r="O91" t="s">
        <v>109</v>
      </c>
      <c r="P91" t="s">
        <v>29</v>
      </c>
      <c r="Q91" t="s">
        <v>193</v>
      </c>
      <c r="R91" t="s">
        <v>194</v>
      </c>
      <c r="S91" t="s">
        <v>30</v>
      </c>
      <c r="T91" t="s">
        <v>31</v>
      </c>
      <c r="U91" t="s">
        <v>30</v>
      </c>
      <c r="V91" t="s">
        <v>31</v>
      </c>
    </row>
    <row r="92" spans="1:22" ht="12.75">
      <c r="A92">
        <v>2019</v>
      </c>
      <c r="B92" t="s">
        <v>136</v>
      </c>
      <c r="C92" t="s">
        <v>190</v>
      </c>
      <c r="D92">
        <f aca="true" t="shared" si="6" ref="D92:D94">HYPERLINK("https://www.dell.com/en-us/work/shop/cty/pdp/spd/latitude-13-5300-2-in-1-chrome-laptop","Chromebook Enterprise Latitude 5300")</f>
        <v>0</v>
      </c>
      <c r="E92" t="s">
        <v>93</v>
      </c>
      <c r="F92" t="s">
        <v>34</v>
      </c>
      <c r="G92" t="s">
        <v>195</v>
      </c>
      <c r="H92" t="s">
        <v>142</v>
      </c>
      <c r="I92">
        <v>2</v>
      </c>
      <c r="J92" t="s">
        <v>26</v>
      </c>
      <c r="K92">
        <v>4700</v>
      </c>
      <c r="L92">
        <v>2800</v>
      </c>
      <c r="M92" t="s">
        <v>26</v>
      </c>
      <c r="N92" t="s">
        <v>196</v>
      </c>
      <c r="O92" t="s">
        <v>39</v>
      </c>
      <c r="P92" t="s">
        <v>173</v>
      </c>
      <c r="Q92" t="s">
        <v>197</v>
      </c>
      <c r="R92" t="s">
        <v>198</v>
      </c>
      <c r="S92" t="s">
        <v>30</v>
      </c>
      <c r="T92" t="s">
        <v>30</v>
      </c>
      <c r="U92" t="s">
        <v>30</v>
      </c>
      <c r="V92" t="s">
        <v>31</v>
      </c>
    </row>
    <row r="93" spans="1:22" ht="12.75">
      <c r="A93">
        <v>2019</v>
      </c>
      <c r="B93" t="s">
        <v>136</v>
      </c>
      <c r="C93" t="s">
        <v>190</v>
      </c>
      <c r="D93">
        <f t="shared" si="6"/>
        <v>0</v>
      </c>
      <c r="E93" t="s">
        <v>93</v>
      </c>
      <c r="F93" t="s">
        <v>34</v>
      </c>
      <c r="G93" t="s">
        <v>199</v>
      </c>
      <c r="H93" t="s">
        <v>36</v>
      </c>
      <c r="I93">
        <v>2</v>
      </c>
      <c r="J93">
        <v>5482</v>
      </c>
      <c r="K93">
        <v>9200</v>
      </c>
      <c r="L93">
        <v>4800</v>
      </c>
      <c r="M93" t="s">
        <v>26</v>
      </c>
      <c r="N93" t="s">
        <v>196</v>
      </c>
      <c r="O93" t="s">
        <v>39</v>
      </c>
      <c r="P93" t="s">
        <v>173</v>
      </c>
      <c r="Q93" t="s">
        <v>197</v>
      </c>
      <c r="R93" t="s">
        <v>198</v>
      </c>
      <c r="S93" t="s">
        <v>30</v>
      </c>
      <c r="T93" t="s">
        <v>30</v>
      </c>
      <c r="U93" t="s">
        <v>30</v>
      </c>
      <c r="V93" t="s">
        <v>31</v>
      </c>
    </row>
    <row r="94" spans="1:22" ht="12.75">
      <c r="A94">
        <v>2019</v>
      </c>
      <c r="B94" t="s">
        <v>136</v>
      </c>
      <c r="C94" t="s">
        <v>190</v>
      </c>
      <c r="D94">
        <f t="shared" si="6"/>
        <v>0</v>
      </c>
      <c r="E94" t="s">
        <v>93</v>
      </c>
      <c r="F94" t="s">
        <v>34</v>
      </c>
      <c r="G94" t="s">
        <v>200</v>
      </c>
      <c r="H94" t="s">
        <v>43</v>
      </c>
      <c r="I94">
        <v>4</v>
      </c>
      <c r="J94">
        <v>8138</v>
      </c>
      <c r="K94">
        <v>16000</v>
      </c>
      <c r="L94">
        <v>5000</v>
      </c>
      <c r="M94">
        <v>42200</v>
      </c>
      <c r="N94" t="s">
        <v>196</v>
      </c>
      <c r="O94" t="s">
        <v>39</v>
      </c>
      <c r="P94" t="s">
        <v>173</v>
      </c>
      <c r="Q94" t="s">
        <v>197</v>
      </c>
      <c r="R94" t="s">
        <v>198</v>
      </c>
      <c r="S94" t="s">
        <v>30</v>
      </c>
      <c r="T94" t="s">
        <v>30</v>
      </c>
      <c r="U94" t="s">
        <v>30</v>
      </c>
      <c r="V94" t="s">
        <v>31</v>
      </c>
    </row>
    <row r="95" spans="1:22" ht="12.75">
      <c r="A95">
        <v>2019</v>
      </c>
      <c r="B95" t="s">
        <v>136</v>
      </c>
      <c r="C95" t="s">
        <v>190</v>
      </c>
      <c r="D95">
        <f>HYPERLINK("https://www.dell.com/en-us/work/shop/cty/pdp/spd/latitude-13-5300-2-in-1-chrome-laptop","Chromebook Enterprise Latitude 5300 (US)")</f>
        <v>0</v>
      </c>
      <c r="E95" t="s">
        <v>93</v>
      </c>
      <c r="F95" t="s">
        <v>34</v>
      </c>
      <c r="G95" t="s">
        <v>201</v>
      </c>
      <c r="H95" t="s">
        <v>150</v>
      </c>
      <c r="I95">
        <v>4</v>
      </c>
      <c r="J95">
        <v>8627</v>
      </c>
      <c r="K95">
        <v>18500</v>
      </c>
      <c r="L95">
        <v>5800</v>
      </c>
      <c r="M95" t="s">
        <v>202</v>
      </c>
      <c r="N95" t="s">
        <v>196</v>
      </c>
      <c r="O95" t="s">
        <v>39</v>
      </c>
      <c r="P95" t="s">
        <v>173</v>
      </c>
      <c r="Q95" t="s">
        <v>197</v>
      </c>
      <c r="R95" t="s">
        <v>198</v>
      </c>
      <c r="S95" t="s">
        <v>30</v>
      </c>
      <c r="T95" t="s">
        <v>30</v>
      </c>
      <c r="U95" t="s">
        <v>30</v>
      </c>
      <c r="V95" t="s">
        <v>31</v>
      </c>
    </row>
    <row r="96" spans="1:22" ht="12.75">
      <c r="A96">
        <v>2019</v>
      </c>
      <c r="B96" t="s">
        <v>136</v>
      </c>
      <c r="C96" t="s">
        <v>190</v>
      </c>
      <c r="D96">
        <f aca="true" t="shared" si="7" ref="D96:D97">HYPERLINK("https://www.dell.com/en-us/work/shop/cty/pdp/spd/latitude-14-5400-chrome-laptop","Chromebook Enterprise Latitude 5400")</f>
        <v>0</v>
      </c>
      <c r="E96" t="s">
        <v>33</v>
      </c>
      <c r="F96" t="s">
        <v>34</v>
      </c>
      <c r="G96" t="s">
        <v>195</v>
      </c>
      <c r="H96" t="s">
        <v>142</v>
      </c>
      <c r="I96">
        <v>2</v>
      </c>
      <c r="J96" t="s">
        <v>26</v>
      </c>
      <c r="K96">
        <v>4700</v>
      </c>
      <c r="L96">
        <v>2800</v>
      </c>
      <c r="M96" t="s">
        <v>26</v>
      </c>
      <c r="N96" t="s">
        <v>196</v>
      </c>
      <c r="O96" t="s">
        <v>39</v>
      </c>
      <c r="P96" t="s">
        <v>203</v>
      </c>
      <c r="Q96" t="s">
        <v>182</v>
      </c>
      <c r="R96" t="s">
        <v>183</v>
      </c>
      <c r="S96" t="s">
        <v>30</v>
      </c>
      <c r="T96" t="s">
        <v>31</v>
      </c>
      <c r="U96" t="s">
        <v>30</v>
      </c>
      <c r="V96" t="s">
        <v>31</v>
      </c>
    </row>
    <row r="97" spans="1:22" ht="12.75">
      <c r="A97">
        <v>2019</v>
      </c>
      <c r="B97" t="s">
        <v>136</v>
      </c>
      <c r="C97" t="s">
        <v>190</v>
      </c>
      <c r="D97">
        <f t="shared" si="7"/>
        <v>0</v>
      </c>
      <c r="E97" t="s">
        <v>33</v>
      </c>
      <c r="F97" t="s">
        <v>34</v>
      </c>
      <c r="G97" t="s">
        <v>199</v>
      </c>
      <c r="H97" t="s">
        <v>36</v>
      </c>
      <c r="I97">
        <v>2</v>
      </c>
      <c r="J97">
        <v>5482</v>
      </c>
      <c r="K97">
        <v>9200</v>
      </c>
      <c r="L97">
        <v>4800</v>
      </c>
      <c r="M97" t="s">
        <v>26</v>
      </c>
      <c r="N97" t="s">
        <v>196</v>
      </c>
      <c r="O97" t="s">
        <v>39</v>
      </c>
      <c r="P97" t="s">
        <v>203</v>
      </c>
      <c r="Q97" t="s">
        <v>182</v>
      </c>
      <c r="R97" t="s">
        <v>183</v>
      </c>
      <c r="S97" t="s">
        <v>30</v>
      </c>
      <c r="T97" t="s">
        <v>31</v>
      </c>
      <c r="U97" t="s">
        <v>30</v>
      </c>
      <c r="V97" t="s">
        <v>31</v>
      </c>
    </row>
    <row r="98" spans="1:22" ht="12.75">
      <c r="A98">
        <v>2019</v>
      </c>
      <c r="B98" t="s">
        <v>136</v>
      </c>
      <c r="C98" t="s">
        <v>190</v>
      </c>
      <c r="D98">
        <f>HYPERLINK("https://www.dell.com/en-us/work/shop/cty/pdp/spd/latitude-14-5400-chrome-laptop","Chromebook Enterprise Latitude 5400 (UK)")</f>
        <v>0</v>
      </c>
      <c r="E98" t="s">
        <v>33</v>
      </c>
      <c r="F98" t="s">
        <v>34</v>
      </c>
      <c r="G98" t="s">
        <v>204</v>
      </c>
      <c r="H98" t="s">
        <v>43</v>
      </c>
      <c r="I98">
        <v>4</v>
      </c>
      <c r="J98">
        <v>8006</v>
      </c>
      <c r="K98">
        <v>16500</v>
      </c>
      <c r="L98">
        <v>5000</v>
      </c>
      <c r="M98" t="s">
        <v>26</v>
      </c>
      <c r="N98" t="s">
        <v>196</v>
      </c>
      <c r="O98" t="s">
        <v>39</v>
      </c>
      <c r="P98" t="s">
        <v>203</v>
      </c>
      <c r="Q98" t="s">
        <v>182</v>
      </c>
      <c r="R98" t="s">
        <v>183</v>
      </c>
      <c r="S98" t="s">
        <v>30</v>
      </c>
      <c r="T98" t="s">
        <v>31</v>
      </c>
      <c r="U98" t="s">
        <v>30</v>
      </c>
      <c r="V98" t="s">
        <v>31</v>
      </c>
    </row>
    <row r="99" spans="1:22" ht="12.75">
      <c r="A99">
        <v>2019</v>
      </c>
      <c r="B99" t="s">
        <v>136</v>
      </c>
      <c r="C99" t="s">
        <v>190</v>
      </c>
      <c r="D99">
        <f aca="true" t="shared" si="8" ref="D99:D100">HYPERLINK("https://www.dell.com/en-us/work/shop/cty/pdp/spd/latitude-14-5400-chrome-laptop","Chromebook Enterprise Latitude 5400 (US)")</f>
        <v>0</v>
      </c>
      <c r="E99" t="s">
        <v>33</v>
      </c>
      <c r="F99" t="s">
        <v>34</v>
      </c>
      <c r="G99" t="s">
        <v>200</v>
      </c>
      <c r="H99" t="s">
        <v>43</v>
      </c>
      <c r="I99">
        <v>4</v>
      </c>
      <c r="J99">
        <v>8138</v>
      </c>
      <c r="K99">
        <v>16000</v>
      </c>
      <c r="L99">
        <v>5000</v>
      </c>
      <c r="M99" t="s">
        <v>205</v>
      </c>
      <c r="N99" t="s">
        <v>196</v>
      </c>
      <c r="O99" t="s">
        <v>39</v>
      </c>
      <c r="P99" t="s">
        <v>203</v>
      </c>
      <c r="Q99" t="s">
        <v>182</v>
      </c>
      <c r="R99" t="s">
        <v>183</v>
      </c>
      <c r="S99" t="s">
        <v>30</v>
      </c>
      <c r="T99" t="s">
        <v>31</v>
      </c>
      <c r="U99" t="s">
        <v>30</v>
      </c>
      <c r="V99" t="s">
        <v>31</v>
      </c>
    </row>
    <row r="100" spans="1:22" ht="12.75">
      <c r="A100">
        <v>2019</v>
      </c>
      <c r="B100" t="s">
        <v>136</v>
      </c>
      <c r="C100" t="s">
        <v>190</v>
      </c>
      <c r="D100">
        <f t="shared" si="8"/>
        <v>0</v>
      </c>
      <c r="E100" t="s">
        <v>33</v>
      </c>
      <c r="F100" t="s">
        <v>34</v>
      </c>
      <c r="G100" t="s">
        <v>201</v>
      </c>
      <c r="H100" t="s">
        <v>150</v>
      </c>
      <c r="I100">
        <v>4</v>
      </c>
      <c r="J100">
        <v>8627</v>
      </c>
      <c r="K100">
        <v>18500</v>
      </c>
      <c r="L100">
        <v>5800</v>
      </c>
      <c r="M100">
        <v>44600</v>
      </c>
      <c r="N100" t="s">
        <v>196</v>
      </c>
      <c r="O100" t="s">
        <v>39</v>
      </c>
      <c r="P100" t="s">
        <v>203</v>
      </c>
      <c r="Q100" t="s">
        <v>182</v>
      </c>
      <c r="R100" t="s">
        <v>183</v>
      </c>
      <c r="S100" t="s">
        <v>30</v>
      </c>
      <c r="T100" t="s">
        <v>31</v>
      </c>
      <c r="U100" t="s">
        <v>30</v>
      </c>
      <c r="V100" t="s">
        <v>31</v>
      </c>
    </row>
    <row r="101" spans="1:22" ht="12.75">
      <c r="A101">
        <v>2019</v>
      </c>
      <c r="B101" t="s">
        <v>124</v>
      </c>
      <c r="C101" t="s">
        <v>206</v>
      </c>
      <c r="D101">
        <f>HYPERLINK("https://www.amazon.com/exec/obidos/ASIN/B07YMGQYP6","Pixelbook Go")</f>
        <v>0</v>
      </c>
      <c r="E101" t="s">
        <v>93</v>
      </c>
      <c r="F101" t="s">
        <v>34</v>
      </c>
      <c r="G101" t="s">
        <v>175</v>
      </c>
      <c r="H101" t="s">
        <v>51</v>
      </c>
      <c r="I101">
        <v>2</v>
      </c>
      <c r="J101">
        <v>3461</v>
      </c>
      <c r="K101">
        <v>7200</v>
      </c>
      <c r="L101">
        <v>4000</v>
      </c>
      <c r="M101" t="s">
        <v>176</v>
      </c>
      <c r="N101" t="s">
        <v>98</v>
      </c>
      <c r="O101" t="s">
        <v>109</v>
      </c>
      <c r="P101" t="s">
        <v>29</v>
      </c>
      <c r="Q101" t="s">
        <v>207</v>
      </c>
      <c r="R101" t="s">
        <v>102</v>
      </c>
      <c r="S101" t="s">
        <v>30</v>
      </c>
      <c r="T101" t="s">
        <v>30</v>
      </c>
      <c r="U101" t="s">
        <v>30</v>
      </c>
      <c r="V101" t="s">
        <v>31</v>
      </c>
    </row>
    <row r="102" spans="1:22" ht="12.75">
      <c r="A102">
        <v>2019</v>
      </c>
      <c r="B102" t="s">
        <v>124</v>
      </c>
      <c r="C102" t="s">
        <v>206</v>
      </c>
      <c r="D102">
        <f>HYPERLINK("https://www.amazon.com/exec/obidos/ASIN/B07YMM4YC1","Pixelbook Go")</f>
        <v>0</v>
      </c>
      <c r="E102" t="s">
        <v>93</v>
      </c>
      <c r="F102" t="s">
        <v>34</v>
      </c>
      <c r="G102" t="s">
        <v>184</v>
      </c>
      <c r="H102" t="s">
        <v>185</v>
      </c>
      <c r="I102">
        <v>2</v>
      </c>
      <c r="J102">
        <v>4206</v>
      </c>
      <c r="K102">
        <v>8150</v>
      </c>
      <c r="L102">
        <v>4500</v>
      </c>
      <c r="M102" t="s">
        <v>186</v>
      </c>
      <c r="N102" t="s">
        <v>38</v>
      </c>
      <c r="O102" t="s">
        <v>152</v>
      </c>
      <c r="P102" t="s">
        <v>29</v>
      </c>
      <c r="Q102" t="s">
        <v>207</v>
      </c>
      <c r="R102" t="s">
        <v>102</v>
      </c>
      <c r="S102" t="s">
        <v>30</v>
      </c>
      <c r="T102" t="s">
        <v>30</v>
      </c>
      <c r="U102" t="s">
        <v>30</v>
      </c>
      <c r="V102" t="s">
        <v>31</v>
      </c>
    </row>
    <row r="103" spans="1:22" ht="12.75">
      <c r="A103">
        <v>2019</v>
      </c>
      <c r="B103" t="s">
        <v>169</v>
      </c>
      <c r="C103" t="s">
        <v>206</v>
      </c>
      <c r="D103">
        <f>HYPERLINK("https://www.amazon.com/exec/obidos/ASIN/B07YMM3R39","Pixelbook Go")</f>
        <v>0</v>
      </c>
      <c r="E103" t="s">
        <v>93</v>
      </c>
      <c r="F103" t="s">
        <v>97</v>
      </c>
      <c r="G103" t="s">
        <v>208</v>
      </c>
      <c r="H103" t="s">
        <v>209</v>
      </c>
      <c r="I103">
        <v>2</v>
      </c>
      <c r="J103">
        <v>3945</v>
      </c>
      <c r="K103">
        <v>8700</v>
      </c>
      <c r="L103">
        <v>4900</v>
      </c>
      <c r="M103" t="s">
        <v>26</v>
      </c>
      <c r="N103" t="s">
        <v>148</v>
      </c>
      <c r="O103" t="s">
        <v>99</v>
      </c>
      <c r="P103" t="s">
        <v>29</v>
      </c>
      <c r="Q103" t="s">
        <v>210</v>
      </c>
      <c r="R103" t="s">
        <v>211</v>
      </c>
      <c r="S103" t="s">
        <v>30</v>
      </c>
      <c r="T103" t="s">
        <v>30</v>
      </c>
      <c r="U103" t="s">
        <v>30</v>
      </c>
      <c r="V103" t="s">
        <v>31</v>
      </c>
    </row>
    <row r="104" spans="1:22" ht="12.75">
      <c r="A104">
        <v>2019</v>
      </c>
      <c r="B104" t="s">
        <v>83</v>
      </c>
      <c r="C104" t="s">
        <v>64</v>
      </c>
      <c r="D104">
        <f>HYPERLINK("https://www.amazon.com/exec/obidos/ASIN/B07VFRGN2X","Chromebook 11 G7 EE")</f>
        <v>0</v>
      </c>
      <c r="E104" t="s">
        <v>48</v>
      </c>
      <c r="F104" t="s">
        <v>49</v>
      </c>
      <c r="G104" t="s">
        <v>117</v>
      </c>
      <c r="H104" t="s">
        <v>51</v>
      </c>
      <c r="I104">
        <v>2</v>
      </c>
      <c r="J104">
        <v>1465</v>
      </c>
      <c r="K104">
        <v>3900</v>
      </c>
      <c r="L104">
        <v>2200</v>
      </c>
      <c r="M104" t="s">
        <v>118</v>
      </c>
      <c r="N104" t="s">
        <v>52</v>
      </c>
      <c r="O104" t="s">
        <v>73</v>
      </c>
      <c r="P104" t="s">
        <v>80</v>
      </c>
      <c r="Q104" t="s">
        <v>212</v>
      </c>
      <c r="R104" t="s">
        <v>213</v>
      </c>
      <c r="S104" t="s">
        <v>31</v>
      </c>
      <c r="T104" t="s">
        <v>31</v>
      </c>
      <c r="U104" t="s">
        <v>30</v>
      </c>
      <c r="V104" t="s">
        <v>31</v>
      </c>
    </row>
    <row r="105" spans="1:22" ht="12.75">
      <c r="A105">
        <v>2019</v>
      </c>
      <c r="B105" t="s">
        <v>83</v>
      </c>
      <c r="C105" t="s">
        <v>64</v>
      </c>
      <c r="D105">
        <f>HYPERLINK("https://www.amazon.com/exec/obidos/ASIN/B07SVLR8VR","Chromebook 11 G7 EE")</f>
        <v>0</v>
      </c>
      <c r="E105" t="s">
        <v>48</v>
      </c>
      <c r="F105" t="s">
        <v>49</v>
      </c>
      <c r="G105" t="s">
        <v>117</v>
      </c>
      <c r="H105" t="s">
        <v>51</v>
      </c>
      <c r="I105">
        <v>2</v>
      </c>
      <c r="J105">
        <v>1465</v>
      </c>
      <c r="K105">
        <v>3900</v>
      </c>
      <c r="L105">
        <v>2200</v>
      </c>
      <c r="M105">
        <v>16000</v>
      </c>
      <c r="N105" t="s">
        <v>52</v>
      </c>
      <c r="O105" t="s">
        <v>53</v>
      </c>
      <c r="P105" t="s">
        <v>214</v>
      </c>
      <c r="Q105" t="s">
        <v>212</v>
      </c>
      <c r="R105" t="s">
        <v>213</v>
      </c>
      <c r="S105" t="s">
        <v>30</v>
      </c>
      <c r="T105" t="s">
        <v>30</v>
      </c>
      <c r="U105" t="s">
        <v>30</v>
      </c>
      <c r="V105" t="s">
        <v>31</v>
      </c>
    </row>
    <row r="106" spans="1:22" ht="12.75">
      <c r="A106">
        <v>2019</v>
      </c>
      <c r="B106" t="s">
        <v>46</v>
      </c>
      <c r="C106" t="s">
        <v>64</v>
      </c>
      <c r="D106">
        <f>HYPERLINK("https://www.amazon.com/exec/obidos/ASIN/B07PXGZ88B","Chromebook 11A G6 EE")</f>
        <v>0</v>
      </c>
      <c r="E106" t="s">
        <v>48</v>
      </c>
      <c r="F106" t="s">
        <v>49</v>
      </c>
      <c r="G106" t="s">
        <v>113</v>
      </c>
      <c r="H106" t="s">
        <v>43</v>
      </c>
      <c r="I106">
        <v>2</v>
      </c>
      <c r="J106">
        <v>1539</v>
      </c>
      <c r="K106">
        <v>2300</v>
      </c>
      <c r="L106">
        <v>1500</v>
      </c>
      <c r="M106" t="s">
        <v>114</v>
      </c>
      <c r="N106" t="s">
        <v>52</v>
      </c>
      <c r="O106" t="s">
        <v>73</v>
      </c>
      <c r="P106" t="s">
        <v>74</v>
      </c>
      <c r="Q106" t="s">
        <v>58</v>
      </c>
      <c r="R106" t="s">
        <v>59</v>
      </c>
      <c r="S106" t="s">
        <v>31</v>
      </c>
      <c r="T106" t="s">
        <v>31</v>
      </c>
      <c r="U106" t="s">
        <v>30</v>
      </c>
      <c r="V106" t="s">
        <v>31</v>
      </c>
    </row>
    <row r="107" spans="1:22" ht="12.75">
      <c r="A107">
        <v>2019</v>
      </c>
      <c r="B107" t="s">
        <v>46</v>
      </c>
      <c r="C107" t="s">
        <v>64</v>
      </c>
      <c r="D107">
        <f>HYPERLINK("https://store.hp.com/us/en/pdp/hp-chromebook-11a-g6-ee-p-6kj21ut-aba-1","Chromebook 11A G6 EE")</f>
        <v>0</v>
      </c>
      <c r="E107" t="s">
        <v>48</v>
      </c>
      <c r="F107" t="s">
        <v>49</v>
      </c>
      <c r="G107" t="s">
        <v>113</v>
      </c>
      <c r="H107" t="s">
        <v>43</v>
      </c>
      <c r="I107">
        <v>2</v>
      </c>
      <c r="J107">
        <v>1539</v>
      </c>
      <c r="K107">
        <v>2300</v>
      </c>
      <c r="L107">
        <v>1500</v>
      </c>
      <c r="M107" t="s">
        <v>114</v>
      </c>
      <c r="N107" t="s">
        <v>52</v>
      </c>
      <c r="O107" t="s">
        <v>53</v>
      </c>
      <c r="P107" t="s">
        <v>74</v>
      </c>
      <c r="Q107" t="s">
        <v>58</v>
      </c>
      <c r="R107" t="s">
        <v>59</v>
      </c>
      <c r="S107" t="s">
        <v>30</v>
      </c>
      <c r="T107" t="s">
        <v>30</v>
      </c>
      <c r="U107" t="s">
        <v>30</v>
      </c>
      <c r="V107" t="s">
        <v>31</v>
      </c>
    </row>
    <row r="108" spans="1:22" ht="12.75">
      <c r="A108">
        <v>2019</v>
      </c>
      <c r="B108" t="s">
        <v>63</v>
      </c>
      <c r="C108" t="s">
        <v>64</v>
      </c>
      <c r="D108">
        <f>HYPERLINK("https://www.amazon.com/exec/obidos/ASIN/B07M8QVNKG","Chromebook 14 (2019)")</f>
        <v>0</v>
      </c>
      <c r="E108" t="s">
        <v>33</v>
      </c>
      <c r="F108" t="s">
        <v>49</v>
      </c>
      <c r="G108" t="s">
        <v>113</v>
      </c>
      <c r="H108" t="s">
        <v>43</v>
      </c>
      <c r="I108">
        <v>2</v>
      </c>
      <c r="J108">
        <v>1539</v>
      </c>
      <c r="K108">
        <v>2300</v>
      </c>
      <c r="L108">
        <v>1500</v>
      </c>
      <c r="M108">
        <v>14000</v>
      </c>
      <c r="N108" t="s">
        <v>52</v>
      </c>
      <c r="O108" t="s">
        <v>53</v>
      </c>
      <c r="P108" t="s">
        <v>100</v>
      </c>
      <c r="Q108" t="s">
        <v>215</v>
      </c>
      <c r="R108" t="s">
        <v>78</v>
      </c>
      <c r="S108" t="s">
        <v>31</v>
      </c>
      <c r="T108" t="s">
        <v>31</v>
      </c>
      <c r="U108" t="s">
        <v>30</v>
      </c>
      <c r="V108" t="s">
        <v>31</v>
      </c>
    </row>
    <row r="109" spans="1:22" ht="12.75">
      <c r="A109">
        <v>2019</v>
      </c>
      <c r="B109" t="s">
        <v>83</v>
      </c>
      <c r="C109" t="s">
        <v>64</v>
      </c>
      <c r="D109">
        <f>HYPERLINK("https://www.amazon.com/exec/obidos/ASIN/B07V6X28MM","Chromebook 14A G5")</f>
        <v>0</v>
      </c>
      <c r="E109" t="s">
        <v>33</v>
      </c>
      <c r="F109" t="s">
        <v>49</v>
      </c>
      <c r="G109" t="s">
        <v>113</v>
      </c>
      <c r="H109" t="s">
        <v>43</v>
      </c>
      <c r="I109">
        <v>2</v>
      </c>
      <c r="J109">
        <v>1539</v>
      </c>
      <c r="K109">
        <v>2300</v>
      </c>
      <c r="L109">
        <v>1500</v>
      </c>
      <c r="M109" t="s">
        <v>114</v>
      </c>
      <c r="N109" t="s">
        <v>27</v>
      </c>
      <c r="O109" t="s">
        <v>66</v>
      </c>
      <c r="P109" t="s">
        <v>100</v>
      </c>
      <c r="Q109" t="s">
        <v>216</v>
      </c>
      <c r="R109" t="s">
        <v>217</v>
      </c>
      <c r="S109" t="s">
        <v>31</v>
      </c>
      <c r="T109" t="s">
        <v>31</v>
      </c>
      <c r="U109" t="s">
        <v>30</v>
      </c>
      <c r="V109" t="s">
        <v>31</v>
      </c>
    </row>
    <row r="110" spans="1:22" ht="12.75">
      <c r="A110">
        <v>2019</v>
      </c>
      <c r="B110" t="s">
        <v>83</v>
      </c>
      <c r="C110" t="s">
        <v>64</v>
      </c>
      <c r="D110">
        <f aca="true" t="shared" si="9" ref="D110:D115">HYPERLINK("https://store.hp.com/us/en/pdp/hp-chromebook-14a-g5-notebook-pc-customizable-6pq81av-mb","Chromebook 14A G5")</f>
        <v>0</v>
      </c>
      <c r="E110" t="s">
        <v>33</v>
      </c>
      <c r="F110" t="s">
        <v>34</v>
      </c>
      <c r="G110" t="s">
        <v>113</v>
      </c>
      <c r="H110" t="s">
        <v>43</v>
      </c>
      <c r="I110">
        <v>2</v>
      </c>
      <c r="J110">
        <v>1539</v>
      </c>
      <c r="K110">
        <v>2300</v>
      </c>
      <c r="L110">
        <v>1500</v>
      </c>
      <c r="M110" t="s">
        <v>114</v>
      </c>
      <c r="N110" t="s">
        <v>27</v>
      </c>
      <c r="O110" t="s">
        <v>66</v>
      </c>
      <c r="P110" t="s">
        <v>100</v>
      </c>
      <c r="Q110" t="s">
        <v>216</v>
      </c>
      <c r="R110" t="s">
        <v>217</v>
      </c>
      <c r="S110" t="s">
        <v>30</v>
      </c>
      <c r="T110" t="s">
        <v>31</v>
      </c>
      <c r="U110" t="s">
        <v>30</v>
      </c>
      <c r="V110" t="s">
        <v>31</v>
      </c>
    </row>
    <row r="111" spans="1:22" ht="12.75">
      <c r="A111">
        <v>2019</v>
      </c>
      <c r="B111" t="s">
        <v>83</v>
      </c>
      <c r="C111" t="s">
        <v>64</v>
      </c>
      <c r="D111">
        <f t="shared" si="9"/>
        <v>0</v>
      </c>
      <c r="E111" t="s">
        <v>33</v>
      </c>
      <c r="F111" t="s">
        <v>49</v>
      </c>
      <c r="G111" t="s">
        <v>113</v>
      </c>
      <c r="H111" t="s">
        <v>43</v>
      </c>
      <c r="I111">
        <v>2</v>
      </c>
      <c r="J111">
        <v>1539</v>
      </c>
      <c r="K111">
        <v>2300</v>
      </c>
      <c r="L111">
        <v>1500</v>
      </c>
      <c r="M111" t="s">
        <v>114</v>
      </c>
      <c r="N111" t="s">
        <v>27</v>
      </c>
      <c r="O111" t="s">
        <v>28</v>
      </c>
      <c r="P111" t="s">
        <v>100</v>
      </c>
      <c r="Q111" t="s">
        <v>216</v>
      </c>
      <c r="R111" t="s">
        <v>217</v>
      </c>
      <c r="S111" t="s">
        <v>31</v>
      </c>
      <c r="T111" t="s">
        <v>30</v>
      </c>
      <c r="U111" t="s">
        <v>30</v>
      </c>
      <c r="V111" t="s">
        <v>31</v>
      </c>
    </row>
    <row r="112" spans="1:22" ht="12.75">
      <c r="A112">
        <v>2019</v>
      </c>
      <c r="B112" t="s">
        <v>83</v>
      </c>
      <c r="C112" t="s">
        <v>64</v>
      </c>
      <c r="D112">
        <f t="shared" si="9"/>
        <v>0</v>
      </c>
      <c r="E112" t="s">
        <v>33</v>
      </c>
      <c r="F112" t="s">
        <v>34</v>
      </c>
      <c r="G112" t="s">
        <v>113</v>
      </c>
      <c r="H112" t="s">
        <v>43</v>
      </c>
      <c r="I112">
        <v>2</v>
      </c>
      <c r="J112">
        <v>1539</v>
      </c>
      <c r="K112">
        <v>2300</v>
      </c>
      <c r="L112">
        <v>1500</v>
      </c>
      <c r="M112" t="s">
        <v>114</v>
      </c>
      <c r="N112" t="s">
        <v>27</v>
      </c>
      <c r="O112" t="s">
        <v>28</v>
      </c>
      <c r="P112" t="s">
        <v>100</v>
      </c>
      <c r="Q112" t="s">
        <v>216</v>
      </c>
      <c r="R112" t="s">
        <v>217</v>
      </c>
      <c r="S112" t="s">
        <v>30</v>
      </c>
      <c r="T112" t="s">
        <v>30</v>
      </c>
      <c r="U112" t="s">
        <v>30</v>
      </c>
      <c r="V112" t="s">
        <v>31</v>
      </c>
    </row>
    <row r="113" spans="1:22" ht="12.75">
      <c r="A113">
        <v>2019</v>
      </c>
      <c r="B113" t="s">
        <v>83</v>
      </c>
      <c r="C113" t="s">
        <v>64</v>
      </c>
      <c r="D113">
        <f t="shared" si="9"/>
        <v>0</v>
      </c>
      <c r="E113" t="s">
        <v>33</v>
      </c>
      <c r="F113" t="s">
        <v>49</v>
      </c>
      <c r="G113" t="s">
        <v>71</v>
      </c>
      <c r="H113" t="s">
        <v>45</v>
      </c>
      <c r="I113">
        <v>2</v>
      </c>
      <c r="J113">
        <v>1962</v>
      </c>
      <c r="K113">
        <v>2500</v>
      </c>
      <c r="L113">
        <v>1650</v>
      </c>
      <c r="M113" t="s">
        <v>26</v>
      </c>
      <c r="N113" t="s">
        <v>27</v>
      </c>
      <c r="O113" t="s">
        <v>28</v>
      </c>
      <c r="P113" t="s">
        <v>100</v>
      </c>
      <c r="Q113" t="s">
        <v>216</v>
      </c>
      <c r="R113" t="s">
        <v>217</v>
      </c>
      <c r="S113" t="s">
        <v>31</v>
      </c>
      <c r="T113" t="s">
        <v>31</v>
      </c>
      <c r="U113" t="s">
        <v>30</v>
      </c>
      <c r="V113" t="s">
        <v>31</v>
      </c>
    </row>
    <row r="114" spans="1:22" ht="12.75">
      <c r="A114">
        <v>2019</v>
      </c>
      <c r="B114" t="s">
        <v>83</v>
      </c>
      <c r="C114" t="s">
        <v>64</v>
      </c>
      <c r="D114">
        <f t="shared" si="9"/>
        <v>0</v>
      </c>
      <c r="E114" t="s">
        <v>33</v>
      </c>
      <c r="F114" t="s">
        <v>34</v>
      </c>
      <c r="G114" t="s">
        <v>71</v>
      </c>
      <c r="H114" t="s">
        <v>45</v>
      </c>
      <c r="I114">
        <v>2</v>
      </c>
      <c r="J114">
        <v>1962</v>
      </c>
      <c r="K114">
        <v>2500</v>
      </c>
      <c r="L114">
        <v>1650</v>
      </c>
      <c r="M114" t="s">
        <v>26</v>
      </c>
      <c r="N114" t="s">
        <v>27</v>
      </c>
      <c r="O114" t="s">
        <v>28</v>
      </c>
      <c r="P114" t="s">
        <v>100</v>
      </c>
      <c r="Q114" t="s">
        <v>216</v>
      </c>
      <c r="R114" t="s">
        <v>217</v>
      </c>
      <c r="S114" t="s">
        <v>30</v>
      </c>
      <c r="T114" t="s">
        <v>31</v>
      </c>
      <c r="U114" t="s">
        <v>30</v>
      </c>
      <c r="V114" t="s">
        <v>31</v>
      </c>
    </row>
    <row r="115" spans="1:22" ht="12.75">
      <c r="A115">
        <v>2019</v>
      </c>
      <c r="B115" t="s">
        <v>83</v>
      </c>
      <c r="C115" t="s">
        <v>64</v>
      </c>
      <c r="D115">
        <f t="shared" si="9"/>
        <v>0</v>
      </c>
      <c r="E115" t="s">
        <v>33</v>
      </c>
      <c r="F115" t="s">
        <v>49</v>
      </c>
      <c r="G115" t="s">
        <v>71</v>
      </c>
      <c r="H115" t="s">
        <v>45</v>
      </c>
      <c r="I115">
        <v>2</v>
      </c>
      <c r="J115">
        <v>1962</v>
      </c>
      <c r="K115">
        <v>2500</v>
      </c>
      <c r="L115">
        <v>1650</v>
      </c>
      <c r="M115" t="s">
        <v>26</v>
      </c>
      <c r="N115" t="s">
        <v>27</v>
      </c>
      <c r="O115" t="s">
        <v>28</v>
      </c>
      <c r="P115" t="s">
        <v>100</v>
      </c>
      <c r="Q115" t="s">
        <v>216</v>
      </c>
      <c r="R115" t="s">
        <v>217</v>
      </c>
      <c r="S115" t="s">
        <v>31</v>
      </c>
      <c r="T115" t="s">
        <v>30</v>
      </c>
      <c r="U115" t="s">
        <v>30</v>
      </c>
      <c r="V115" t="s">
        <v>31</v>
      </c>
    </row>
    <row r="116" spans="1:22" ht="12.75">
      <c r="A116">
        <v>2019</v>
      </c>
      <c r="B116" t="s">
        <v>83</v>
      </c>
      <c r="C116" t="s">
        <v>64</v>
      </c>
      <c r="D116">
        <f>HYPERLINK("https://www.amazon.com/exec/obidos/ASIN/B07YDMHNR2","Chromebook 14A G5")</f>
        <v>0</v>
      </c>
      <c r="E116" t="s">
        <v>33</v>
      </c>
      <c r="F116" t="s">
        <v>34</v>
      </c>
      <c r="G116" t="s">
        <v>71</v>
      </c>
      <c r="H116" t="s">
        <v>45</v>
      </c>
      <c r="I116">
        <v>2</v>
      </c>
      <c r="J116">
        <v>1962</v>
      </c>
      <c r="K116">
        <v>2500</v>
      </c>
      <c r="L116">
        <v>1650</v>
      </c>
      <c r="M116" t="s">
        <v>26</v>
      </c>
      <c r="N116" t="s">
        <v>27</v>
      </c>
      <c r="O116" t="s">
        <v>28</v>
      </c>
      <c r="P116" t="s">
        <v>100</v>
      </c>
      <c r="Q116" t="s">
        <v>216</v>
      </c>
      <c r="R116" t="s">
        <v>217</v>
      </c>
      <c r="S116" t="s">
        <v>30</v>
      </c>
      <c r="T116" t="s">
        <v>30</v>
      </c>
      <c r="U116" t="s">
        <v>30</v>
      </c>
      <c r="V116" t="s">
        <v>31</v>
      </c>
    </row>
    <row r="117" spans="1:22" ht="12.75">
      <c r="A117">
        <v>2019</v>
      </c>
      <c r="B117" t="s">
        <v>92</v>
      </c>
      <c r="C117" t="s">
        <v>64</v>
      </c>
      <c r="D117">
        <f>HYPERLINK("https://www.amazon.com/exec/obidos/ASIN/B07QQVPFLF","Chromebook 15")</f>
        <v>0</v>
      </c>
      <c r="E117" t="s">
        <v>132</v>
      </c>
      <c r="F117" t="s">
        <v>34</v>
      </c>
      <c r="G117" t="s">
        <v>137</v>
      </c>
      <c r="H117" t="s">
        <v>138</v>
      </c>
      <c r="I117">
        <v>2</v>
      </c>
      <c r="J117">
        <v>3190</v>
      </c>
      <c r="K117">
        <v>6000</v>
      </c>
      <c r="L117">
        <v>3100</v>
      </c>
      <c r="M117" t="s">
        <v>26</v>
      </c>
      <c r="N117" t="s">
        <v>52</v>
      </c>
      <c r="O117" t="s">
        <v>109</v>
      </c>
      <c r="P117" t="s">
        <v>80</v>
      </c>
      <c r="Q117" t="s">
        <v>218</v>
      </c>
      <c r="R117" t="s">
        <v>219</v>
      </c>
      <c r="S117" t="s">
        <v>30</v>
      </c>
      <c r="T117" t="s">
        <v>30</v>
      </c>
      <c r="U117" t="s">
        <v>30</v>
      </c>
      <c r="V117" t="s">
        <v>31</v>
      </c>
    </row>
    <row r="118" spans="1:22" ht="12.75">
      <c r="A118">
        <v>2019</v>
      </c>
      <c r="B118" t="s">
        <v>92</v>
      </c>
      <c r="C118" t="s">
        <v>64</v>
      </c>
      <c r="D118">
        <f>HYPERLINK("https://www.amazon.com/exec/obidos/ASIN/B07WGQWNLF","Chromebook 15")</f>
        <v>0</v>
      </c>
      <c r="E118" t="s">
        <v>132</v>
      </c>
      <c r="F118" t="s">
        <v>34</v>
      </c>
      <c r="G118" t="s">
        <v>141</v>
      </c>
      <c r="H118" t="s">
        <v>142</v>
      </c>
      <c r="I118">
        <v>2</v>
      </c>
      <c r="J118">
        <v>5326</v>
      </c>
      <c r="K118">
        <v>9200</v>
      </c>
      <c r="L118">
        <v>4550</v>
      </c>
      <c r="M118" t="s">
        <v>143</v>
      </c>
      <c r="N118" t="s">
        <v>52</v>
      </c>
      <c r="O118" t="s">
        <v>152</v>
      </c>
      <c r="P118" t="s">
        <v>80</v>
      </c>
      <c r="Q118" t="s">
        <v>218</v>
      </c>
      <c r="R118" t="s">
        <v>219</v>
      </c>
      <c r="S118" t="s">
        <v>30</v>
      </c>
      <c r="T118" t="s">
        <v>30</v>
      </c>
      <c r="U118" t="s">
        <v>30</v>
      </c>
      <c r="V118" t="s">
        <v>31</v>
      </c>
    </row>
    <row r="119" spans="1:22" ht="12.75">
      <c r="A119">
        <v>2019</v>
      </c>
      <c r="B119" t="s">
        <v>103</v>
      </c>
      <c r="C119" t="s">
        <v>64</v>
      </c>
      <c r="D119">
        <f>HYPERLINK("https://www8.hp.com/us/en/laptops/product-details/32571058","Chromebook Enterprise 14A G5")</f>
        <v>0</v>
      </c>
      <c r="E119" t="s">
        <v>33</v>
      </c>
      <c r="F119" t="s">
        <v>49</v>
      </c>
      <c r="G119" t="s">
        <v>113</v>
      </c>
      <c r="H119" t="s">
        <v>43</v>
      </c>
      <c r="I119">
        <v>2</v>
      </c>
      <c r="J119">
        <v>1539</v>
      </c>
      <c r="K119">
        <v>2300</v>
      </c>
      <c r="L119">
        <v>1500</v>
      </c>
      <c r="M119" t="s">
        <v>114</v>
      </c>
      <c r="N119" t="s">
        <v>27</v>
      </c>
      <c r="O119" t="s">
        <v>53</v>
      </c>
      <c r="P119" t="s">
        <v>100</v>
      </c>
      <c r="Q119" t="s">
        <v>220</v>
      </c>
      <c r="R119" t="s">
        <v>217</v>
      </c>
      <c r="S119" t="s">
        <v>31</v>
      </c>
      <c r="T119" t="s">
        <v>31</v>
      </c>
      <c r="U119" t="s">
        <v>30</v>
      </c>
      <c r="V119" t="s">
        <v>31</v>
      </c>
    </row>
    <row r="120" spans="1:22" ht="12.75">
      <c r="A120">
        <v>2019</v>
      </c>
      <c r="B120" t="s">
        <v>103</v>
      </c>
      <c r="C120" t="s">
        <v>64</v>
      </c>
      <c r="D120">
        <f aca="true" t="shared" si="10" ref="D120:D126">HYPERLINK("https://store.hp.com/us/en/pdp/hp-chromebook-enterprise-x360-14e-g1-customizable-8ql35av-mb","Chromebook Enterprise x360 14E G1")</f>
        <v>0</v>
      </c>
      <c r="E120" t="s">
        <v>33</v>
      </c>
      <c r="F120" t="s">
        <v>34</v>
      </c>
      <c r="G120" t="s">
        <v>221</v>
      </c>
      <c r="H120" t="s">
        <v>138</v>
      </c>
      <c r="I120">
        <v>2</v>
      </c>
      <c r="J120">
        <v>3141</v>
      </c>
      <c r="K120">
        <v>6100</v>
      </c>
      <c r="L120">
        <v>3150</v>
      </c>
      <c r="M120" t="s">
        <v>222</v>
      </c>
      <c r="N120" t="s">
        <v>98</v>
      </c>
      <c r="O120" t="s">
        <v>53</v>
      </c>
      <c r="P120" t="s">
        <v>80</v>
      </c>
      <c r="Q120" t="s">
        <v>223</v>
      </c>
      <c r="R120" t="s">
        <v>224</v>
      </c>
      <c r="S120" t="s">
        <v>30</v>
      </c>
      <c r="T120" t="s">
        <v>30</v>
      </c>
      <c r="U120" t="s">
        <v>30</v>
      </c>
      <c r="V120" t="s">
        <v>31</v>
      </c>
    </row>
    <row r="121" spans="1:22" ht="12.75">
      <c r="A121">
        <v>2019</v>
      </c>
      <c r="B121" t="s">
        <v>103</v>
      </c>
      <c r="C121" t="s">
        <v>64</v>
      </c>
      <c r="D121">
        <f t="shared" si="10"/>
        <v>0</v>
      </c>
      <c r="E121" t="s">
        <v>33</v>
      </c>
      <c r="F121" t="s">
        <v>34</v>
      </c>
      <c r="G121" t="s">
        <v>137</v>
      </c>
      <c r="H121" t="s">
        <v>138</v>
      </c>
      <c r="I121">
        <v>2</v>
      </c>
      <c r="J121">
        <v>3190</v>
      </c>
      <c r="K121">
        <v>6000</v>
      </c>
      <c r="L121">
        <v>3100</v>
      </c>
      <c r="M121" t="s">
        <v>26</v>
      </c>
      <c r="N121" t="s">
        <v>98</v>
      </c>
      <c r="O121" t="s">
        <v>53</v>
      </c>
      <c r="P121" t="s">
        <v>80</v>
      </c>
      <c r="Q121" t="s">
        <v>223</v>
      </c>
      <c r="R121" t="s">
        <v>224</v>
      </c>
      <c r="S121" t="s">
        <v>30</v>
      </c>
      <c r="T121" t="s">
        <v>30</v>
      </c>
      <c r="U121" t="s">
        <v>30</v>
      </c>
      <c r="V121" t="s">
        <v>31</v>
      </c>
    </row>
    <row r="122" spans="1:22" ht="12.75">
      <c r="A122">
        <v>2019</v>
      </c>
      <c r="B122" t="s">
        <v>103</v>
      </c>
      <c r="C122" t="s">
        <v>64</v>
      </c>
      <c r="D122">
        <f t="shared" si="10"/>
        <v>0</v>
      </c>
      <c r="E122" t="s">
        <v>33</v>
      </c>
      <c r="F122" t="s">
        <v>34</v>
      </c>
      <c r="G122" t="s">
        <v>225</v>
      </c>
      <c r="H122" t="s">
        <v>226</v>
      </c>
      <c r="I122">
        <v>2</v>
      </c>
      <c r="J122">
        <v>4060</v>
      </c>
      <c r="K122">
        <v>7400</v>
      </c>
      <c r="L122">
        <v>3750</v>
      </c>
      <c r="M122" t="s">
        <v>26</v>
      </c>
      <c r="N122" t="s">
        <v>98</v>
      </c>
      <c r="O122" t="s">
        <v>109</v>
      </c>
      <c r="P122" t="s">
        <v>80</v>
      </c>
      <c r="Q122" t="s">
        <v>223</v>
      </c>
      <c r="R122" t="s">
        <v>224</v>
      </c>
      <c r="S122" t="s">
        <v>30</v>
      </c>
      <c r="T122" t="s">
        <v>30</v>
      </c>
      <c r="U122" t="s">
        <v>30</v>
      </c>
      <c r="V122" t="s">
        <v>31</v>
      </c>
    </row>
    <row r="123" spans="1:22" ht="12.75">
      <c r="A123">
        <v>2019</v>
      </c>
      <c r="B123" t="s">
        <v>103</v>
      </c>
      <c r="C123" t="s">
        <v>64</v>
      </c>
      <c r="D123">
        <f t="shared" si="10"/>
        <v>0</v>
      </c>
      <c r="E123" t="s">
        <v>33</v>
      </c>
      <c r="F123" t="s">
        <v>34</v>
      </c>
      <c r="G123" t="s">
        <v>141</v>
      </c>
      <c r="H123" t="s">
        <v>142</v>
      </c>
      <c r="I123">
        <v>2</v>
      </c>
      <c r="J123">
        <v>5326</v>
      </c>
      <c r="K123">
        <v>9200</v>
      </c>
      <c r="L123">
        <v>4550</v>
      </c>
      <c r="M123" t="s">
        <v>143</v>
      </c>
      <c r="N123" t="s">
        <v>98</v>
      </c>
      <c r="O123" t="s">
        <v>109</v>
      </c>
      <c r="P123" t="s">
        <v>80</v>
      </c>
      <c r="Q123" t="s">
        <v>223</v>
      </c>
      <c r="R123" t="s">
        <v>224</v>
      </c>
      <c r="S123" t="s">
        <v>30</v>
      </c>
      <c r="T123" t="s">
        <v>30</v>
      </c>
      <c r="U123" t="s">
        <v>30</v>
      </c>
      <c r="V123" t="s">
        <v>31</v>
      </c>
    </row>
    <row r="124" spans="1:22" ht="12.75">
      <c r="A124">
        <v>2019</v>
      </c>
      <c r="B124" t="s">
        <v>103</v>
      </c>
      <c r="C124" t="s">
        <v>64</v>
      </c>
      <c r="D124">
        <f t="shared" si="10"/>
        <v>0</v>
      </c>
      <c r="E124" t="s">
        <v>33</v>
      </c>
      <c r="F124" t="s">
        <v>34</v>
      </c>
      <c r="G124" t="s">
        <v>106</v>
      </c>
      <c r="H124" t="s">
        <v>107</v>
      </c>
      <c r="I124">
        <v>4</v>
      </c>
      <c r="J124">
        <v>8239</v>
      </c>
      <c r="K124">
        <v>16000</v>
      </c>
      <c r="L124">
        <v>4600</v>
      </c>
      <c r="M124" t="s">
        <v>108</v>
      </c>
      <c r="N124" t="s">
        <v>98</v>
      </c>
      <c r="O124" t="s">
        <v>109</v>
      </c>
      <c r="P124" t="s">
        <v>80</v>
      </c>
      <c r="Q124" t="s">
        <v>223</v>
      </c>
      <c r="R124" t="s">
        <v>224</v>
      </c>
      <c r="S124" t="s">
        <v>30</v>
      </c>
      <c r="T124" t="s">
        <v>30</v>
      </c>
      <c r="U124" t="s">
        <v>30</v>
      </c>
      <c r="V124" t="s">
        <v>31</v>
      </c>
    </row>
    <row r="125" spans="1:22" ht="12.75">
      <c r="A125">
        <v>2019</v>
      </c>
      <c r="B125" t="s">
        <v>103</v>
      </c>
      <c r="C125" t="s">
        <v>64</v>
      </c>
      <c r="D125">
        <f t="shared" si="10"/>
        <v>0</v>
      </c>
      <c r="E125" t="s">
        <v>33</v>
      </c>
      <c r="F125" t="s">
        <v>34</v>
      </c>
      <c r="G125" t="s">
        <v>227</v>
      </c>
      <c r="H125" t="s">
        <v>228</v>
      </c>
      <c r="I125">
        <v>2</v>
      </c>
      <c r="J125">
        <v>5110</v>
      </c>
      <c r="K125">
        <v>10400</v>
      </c>
      <c r="L125">
        <v>5300</v>
      </c>
      <c r="M125" t="s">
        <v>26</v>
      </c>
      <c r="N125" t="s">
        <v>148</v>
      </c>
      <c r="O125" t="s">
        <v>109</v>
      </c>
      <c r="P125" t="s">
        <v>80</v>
      </c>
      <c r="Q125" t="s">
        <v>223</v>
      </c>
      <c r="R125" t="s">
        <v>224</v>
      </c>
      <c r="S125" t="s">
        <v>30</v>
      </c>
      <c r="T125" t="s">
        <v>30</v>
      </c>
      <c r="U125" t="s">
        <v>30</v>
      </c>
      <c r="V125" t="s">
        <v>31</v>
      </c>
    </row>
    <row r="126" spans="1:22" ht="12.75">
      <c r="A126">
        <v>2019</v>
      </c>
      <c r="B126" t="s">
        <v>103</v>
      </c>
      <c r="C126" t="s">
        <v>64</v>
      </c>
      <c r="D126">
        <f t="shared" si="10"/>
        <v>0</v>
      </c>
      <c r="E126" t="s">
        <v>33</v>
      </c>
      <c r="F126" t="s">
        <v>34</v>
      </c>
      <c r="G126" t="s">
        <v>149</v>
      </c>
      <c r="H126" t="s">
        <v>150</v>
      </c>
      <c r="I126">
        <v>4</v>
      </c>
      <c r="J126">
        <v>8838</v>
      </c>
      <c r="K126">
        <v>18200</v>
      </c>
      <c r="L126">
        <v>5600</v>
      </c>
      <c r="M126" t="s">
        <v>151</v>
      </c>
      <c r="N126" t="s">
        <v>148</v>
      </c>
      <c r="O126" t="s">
        <v>109</v>
      </c>
      <c r="P126" t="s">
        <v>80</v>
      </c>
      <c r="Q126" t="s">
        <v>223</v>
      </c>
      <c r="R126" t="s">
        <v>224</v>
      </c>
      <c r="S126" t="s">
        <v>30</v>
      </c>
      <c r="T126" t="s">
        <v>30</v>
      </c>
      <c r="U126" t="s">
        <v>30</v>
      </c>
      <c r="V126" t="s">
        <v>31</v>
      </c>
    </row>
    <row r="127" spans="1:22" ht="12.75">
      <c r="A127">
        <v>2019</v>
      </c>
      <c r="B127" t="s">
        <v>121</v>
      </c>
      <c r="C127" t="s">
        <v>64</v>
      </c>
      <c r="D127">
        <f>HYPERLINK("https://www.amazon.com/exec/obidos/ASIN/B07RGC9QSV","Chromebook x360 11 G2 EE")</f>
        <v>0</v>
      </c>
      <c r="E127" t="s">
        <v>48</v>
      </c>
      <c r="F127" t="s">
        <v>49</v>
      </c>
      <c r="G127" t="s">
        <v>117</v>
      </c>
      <c r="H127" t="s">
        <v>51</v>
      </c>
      <c r="I127">
        <v>2</v>
      </c>
      <c r="J127">
        <v>1465</v>
      </c>
      <c r="K127">
        <v>3900</v>
      </c>
      <c r="L127">
        <v>2200</v>
      </c>
      <c r="M127" t="s">
        <v>118</v>
      </c>
      <c r="N127" t="s">
        <v>27</v>
      </c>
      <c r="O127" t="s">
        <v>28</v>
      </c>
      <c r="P127" t="s">
        <v>214</v>
      </c>
      <c r="Q127" t="s">
        <v>182</v>
      </c>
      <c r="R127" t="s">
        <v>183</v>
      </c>
      <c r="S127" t="s">
        <v>30</v>
      </c>
      <c r="T127" t="s">
        <v>30</v>
      </c>
      <c r="U127" t="s">
        <v>30</v>
      </c>
      <c r="V127" t="s">
        <v>30</v>
      </c>
    </row>
    <row r="128" spans="1:22" ht="12.75">
      <c r="A128">
        <v>2019</v>
      </c>
      <c r="B128" t="s">
        <v>121</v>
      </c>
      <c r="C128" t="s">
        <v>64</v>
      </c>
      <c r="D128">
        <f>HYPERLINK("https://www.amazon.com/exec/obidos/ASIN/B07W8CNC7M","Chromebook x360 11 G2 EE")</f>
        <v>0</v>
      </c>
      <c r="E128" t="s">
        <v>48</v>
      </c>
      <c r="F128" t="s">
        <v>49</v>
      </c>
      <c r="G128" t="s">
        <v>122</v>
      </c>
      <c r="H128" t="s">
        <v>51</v>
      </c>
      <c r="I128">
        <v>4</v>
      </c>
      <c r="J128">
        <v>2324</v>
      </c>
      <c r="K128">
        <v>6200</v>
      </c>
      <c r="L128">
        <v>2000</v>
      </c>
      <c r="M128" t="s">
        <v>123</v>
      </c>
      <c r="N128" t="s">
        <v>27</v>
      </c>
      <c r="O128" t="s">
        <v>28</v>
      </c>
      <c r="P128" t="s">
        <v>214</v>
      </c>
      <c r="Q128" t="s">
        <v>182</v>
      </c>
      <c r="R128" t="s">
        <v>183</v>
      </c>
      <c r="S128" t="s">
        <v>30</v>
      </c>
      <c r="T128" t="s">
        <v>30</v>
      </c>
      <c r="U128" t="s">
        <v>30</v>
      </c>
      <c r="V128" t="s">
        <v>30</v>
      </c>
    </row>
    <row r="129" spans="1:22" ht="12.75">
      <c r="A129">
        <v>2019</v>
      </c>
      <c r="B129" t="s">
        <v>124</v>
      </c>
      <c r="C129" t="s">
        <v>64</v>
      </c>
      <c r="D129">
        <f>HYPERLINK("https://www.amazon.com/exec/obidos/ASIN/B07VXXG5WZ","Chromebook x360 12b")</f>
        <v>0</v>
      </c>
      <c r="E129" t="s">
        <v>24</v>
      </c>
      <c r="F129" t="s">
        <v>25</v>
      </c>
      <c r="G129" t="s">
        <v>117</v>
      </c>
      <c r="H129" t="s">
        <v>51</v>
      </c>
      <c r="I129">
        <v>2</v>
      </c>
      <c r="J129">
        <v>1465</v>
      </c>
      <c r="K129">
        <v>3900</v>
      </c>
      <c r="L129">
        <v>2200</v>
      </c>
      <c r="M129" t="s">
        <v>118</v>
      </c>
      <c r="N129" t="s">
        <v>52</v>
      </c>
      <c r="O129" t="s">
        <v>53</v>
      </c>
      <c r="P129" t="s">
        <v>80</v>
      </c>
      <c r="Q129" t="s">
        <v>229</v>
      </c>
      <c r="R129" t="s">
        <v>95</v>
      </c>
      <c r="S129" t="s">
        <v>30</v>
      </c>
      <c r="T129" t="s">
        <v>30</v>
      </c>
      <c r="U129" t="s">
        <v>30</v>
      </c>
      <c r="V129" t="s">
        <v>31</v>
      </c>
    </row>
    <row r="130" spans="1:22" ht="12.75">
      <c r="A130">
        <v>2019</v>
      </c>
      <c r="B130" t="s">
        <v>124</v>
      </c>
      <c r="C130" t="s">
        <v>64</v>
      </c>
      <c r="D130">
        <f>HYPERLINK("https://www.johnlewis.com/hp-chromebook-x360-12b-ca0001na-convertible-laptop-intel-pentium-processor-4gb-ram-64gb-emmc-12-inch-touch-screen-natural-silver/p4873372","Chromebook x360 12b")</f>
        <v>0</v>
      </c>
      <c r="E130" t="s">
        <v>24</v>
      </c>
      <c r="F130" t="s">
        <v>25</v>
      </c>
      <c r="G130" t="s">
        <v>160</v>
      </c>
      <c r="H130" t="s">
        <v>51</v>
      </c>
      <c r="I130">
        <v>4</v>
      </c>
      <c r="J130">
        <v>2452</v>
      </c>
      <c r="K130">
        <v>6700</v>
      </c>
      <c r="L130">
        <v>2200</v>
      </c>
      <c r="M130" t="s">
        <v>161</v>
      </c>
      <c r="N130" t="s">
        <v>27</v>
      </c>
      <c r="O130" t="s">
        <v>109</v>
      </c>
      <c r="P130" t="s">
        <v>80</v>
      </c>
      <c r="Q130" t="s">
        <v>229</v>
      </c>
      <c r="R130" t="s">
        <v>95</v>
      </c>
      <c r="S130" t="s">
        <v>30</v>
      </c>
      <c r="T130" t="s">
        <v>30</v>
      </c>
      <c r="U130" t="s">
        <v>30</v>
      </c>
      <c r="V130" t="s">
        <v>31</v>
      </c>
    </row>
    <row r="131" spans="1:22" ht="12.75">
      <c r="A131">
        <v>2019</v>
      </c>
      <c r="B131" t="s">
        <v>46</v>
      </c>
      <c r="C131" t="s">
        <v>64</v>
      </c>
      <c r="D131">
        <f>HYPERLINK("https://www.amazon.co.uk/exec/obidos/ASIN/B07MFFXP3W","Chromebook x360 14")</f>
        <v>0</v>
      </c>
      <c r="E131" t="s">
        <v>33</v>
      </c>
      <c r="F131" t="s">
        <v>34</v>
      </c>
      <c r="G131" t="s">
        <v>221</v>
      </c>
      <c r="H131" t="s">
        <v>138</v>
      </c>
      <c r="I131">
        <v>2</v>
      </c>
      <c r="J131">
        <v>3141</v>
      </c>
      <c r="K131">
        <v>6100</v>
      </c>
      <c r="L131">
        <v>3150</v>
      </c>
      <c r="M131" t="s">
        <v>222</v>
      </c>
      <c r="N131" t="s">
        <v>52</v>
      </c>
      <c r="O131" t="s">
        <v>53</v>
      </c>
      <c r="P131" t="s">
        <v>173</v>
      </c>
      <c r="Q131" t="s">
        <v>230</v>
      </c>
      <c r="R131" t="s">
        <v>231</v>
      </c>
      <c r="S131" t="s">
        <v>30</v>
      </c>
      <c r="T131" t="s">
        <v>30</v>
      </c>
      <c r="U131" t="s">
        <v>30</v>
      </c>
      <c r="V131" t="s">
        <v>31</v>
      </c>
    </row>
    <row r="132" spans="1:22" ht="12.75">
      <c r="A132">
        <v>2019</v>
      </c>
      <c r="B132" t="s">
        <v>135</v>
      </c>
      <c r="C132" t="s">
        <v>64</v>
      </c>
      <c r="D132">
        <f>HYPERLINK("https://www.amazon.co.uk/exec/obidos/ASIN/B07RFNH2T9","Chromebook x360 14")</f>
        <v>0</v>
      </c>
      <c r="E132" t="s">
        <v>33</v>
      </c>
      <c r="F132" t="s">
        <v>34</v>
      </c>
      <c r="G132" t="s">
        <v>137</v>
      </c>
      <c r="H132" t="s">
        <v>138</v>
      </c>
      <c r="I132">
        <v>2</v>
      </c>
      <c r="J132">
        <v>3190</v>
      </c>
      <c r="K132">
        <v>6000</v>
      </c>
      <c r="L132">
        <v>3100</v>
      </c>
      <c r="M132" t="s">
        <v>26</v>
      </c>
      <c r="N132" t="s">
        <v>52</v>
      </c>
      <c r="O132" t="s">
        <v>53</v>
      </c>
      <c r="P132" t="s">
        <v>173</v>
      </c>
      <c r="Q132" t="s">
        <v>230</v>
      </c>
      <c r="R132" t="s">
        <v>231</v>
      </c>
      <c r="S132" t="s">
        <v>30</v>
      </c>
      <c r="T132" t="s">
        <v>30</v>
      </c>
      <c r="U132" t="s">
        <v>30</v>
      </c>
      <c r="V132" t="s">
        <v>31</v>
      </c>
    </row>
    <row r="133" spans="1:22" ht="12.75">
      <c r="A133">
        <v>2019</v>
      </c>
      <c r="B133" t="s">
        <v>63</v>
      </c>
      <c r="C133" t="s">
        <v>64</v>
      </c>
      <c r="D133">
        <f aca="true" t="shared" si="11" ref="D133:D134">HYPERLINK("https://store.hp.com/us/en/pdp/hp-chromebook-x360-14-g1-notebook-pc-customizable-5mg05av-mb","Chromebook x360 14 G1")</f>
        <v>0</v>
      </c>
      <c r="E133" t="s">
        <v>33</v>
      </c>
      <c r="F133" t="s">
        <v>34</v>
      </c>
      <c r="G133" t="s">
        <v>221</v>
      </c>
      <c r="H133" t="s">
        <v>138</v>
      </c>
      <c r="I133">
        <v>2</v>
      </c>
      <c r="J133">
        <v>3141</v>
      </c>
      <c r="K133">
        <v>6100</v>
      </c>
      <c r="L133">
        <v>3150</v>
      </c>
      <c r="M133" t="s">
        <v>222</v>
      </c>
      <c r="N133" t="s">
        <v>98</v>
      </c>
      <c r="O133" t="s">
        <v>53</v>
      </c>
      <c r="P133" t="s">
        <v>80</v>
      </c>
      <c r="Q133" t="s">
        <v>223</v>
      </c>
      <c r="R133" t="s">
        <v>224</v>
      </c>
      <c r="S133" t="s">
        <v>30</v>
      </c>
      <c r="T133" t="s">
        <v>30</v>
      </c>
      <c r="U133" t="s">
        <v>30</v>
      </c>
      <c r="V133" t="s">
        <v>31</v>
      </c>
    </row>
    <row r="134" spans="1:22" ht="12.75">
      <c r="A134">
        <v>2019</v>
      </c>
      <c r="B134" t="s">
        <v>103</v>
      </c>
      <c r="C134" t="s">
        <v>64</v>
      </c>
      <c r="D134">
        <f t="shared" si="11"/>
        <v>0</v>
      </c>
      <c r="E134" t="s">
        <v>33</v>
      </c>
      <c r="F134" t="s">
        <v>34</v>
      </c>
      <c r="G134" t="s">
        <v>225</v>
      </c>
      <c r="H134" t="s">
        <v>226</v>
      </c>
      <c r="I134">
        <v>2</v>
      </c>
      <c r="J134">
        <v>4060</v>
      </c>
      <c r="K134">
        <v>7400</v>
      </c>
      <c r="L134">
        <v>3750</v>
      </c>
      <c r="M134" t="s">
        <v>26</v>
      </c>
      <c r="N134" t="s">
        <v>98</v>
      </c>
      <c r="O134" t="s">
        <v>109</v>
      </c>
      <c r="P134" t="s">
        <v>80</v>
      </c>
      <c r="Q134" t="s">
        <v>223</v>
      </c>
      <c r="R134" t="s">
        <v>224</v>
      </c>
      <c r="S134" t="s">
        <v>30</v>
      </c>
      <c r="T134" t="s">
        <v>30</v>
      </c>
      <c r="U134" t="s">
        <v>30</v>
      </c>
      <c r="V134" t="s">
        <v>31</v>
      </c>
    </row>
    <row r="135" spans="1:22" ht="12.75">
      <c r="A135">
        <v>2019</v>
      </c>
      <c r="B135" t="s">
        <v>63</v>
      </c>
      <c r="C135" t="s">
        <v>64</v>
      </c>
      <c r="D135">
        <f>HYPERLINK("https://www.amazon.com/exec/obidos/ASIN/B07MVSRNPF","Chromebook x360 14 G1")</f>
        <v>0</v>
      </c>
      <c r="E135" t="s">
        <v>33</v>
      </c>
      <c r="F135" t="s">
        <v>34</v>
      </c>
      <c r="G135" t="s">
        <v>106</v>
      </c>
      <c r="H135" t="s">
        <v>107</v>
      </c>
      <c r="I135">
        <v>4</v>
      </c>
      <c r="J135">
        <v>8239</v>
      </c>
      <c r="K135">
        <v>16000</v>
      </c>
      <c r="L135">
        <v>4600</v>
      </c>
      <c r="M135">
        <v>37700</v>
      </c>
      <c r="N135" t="s">
        <v>98</v>
      </c>
      <c r="O135" t="s">
        <v>109</v>
      </c>
      <c r="P135" t="s">
        <v>80</v>
      </c>
      <c r="Q135" t="s">
        <v>223</v>
      </c>
      <c r="R135" t="s">
        <v>224</v>
      </c>
      <c r="S135" t="s">
        <v>30</v>
      </c>
      <c r="T135" t="s">
        <v>30</v>
      </c>
      <c r="U135" t="s">
        <v>30</v>
      </c>
      <c r="V135" t="s">
        <v>31</v>
      </c>
    </row>
    <row r="136" spans="1:22" ht="12.75">
      <c r="A136">
        <v>2019</v>
      </c>
      <c r="B136" t="s">
        <v>103</v>
      </c>
      <c r="C136" t="s">
        <v>64</v>
      </c>
      <c r="D136">
        <f>HYPERLINK("https://store.hp.com/us/en/pdp/hp-chromebook-x360-14-g1-notebook-pc-customizable-5mg05av-mb","Chromebook x360 14 G1")</f>
        <v>0</v>
      </c>
      <c r="E136" t="s">
        <v>33</v>
      </c>
      <c r="F136" t="s">
        <v>34</v>
      </c>
      <c r="G136" t="s">
        <v>227</v>
      </c>
      <c r="H136" t="s">
        <v>228</v>
      </c>
      <c r="I136">
        <v>2</v>
      </c>
      <c r="J136">
        <v>5110</v>
      </c>
      <c r="K136">
        <v>10400</v>
      </c>
      <c r="L136">
        <v>5300</v>
      </c>
      <c r="M136" t="s">
        <v>26</v>
      </c>
      <c r="N136" t="s">
        <v>148</v>
      </c>
      <c r="O136" t="s">
        <v>109</v>
      </c>
      <c r="P136" t="s">
        <v>80</v>
      </c>
      <c r="Q136" t="s">
        <v>223</v>
      </c>
      <c r="R136" t="s">
        <v>224</v>
      </c>
      <c r="S136" t="s">
        <v>30</v>
      </c>
      <c r="T136" t="s">
        <v>30</v>
      </c>
      <c r="U136" t="s">
        <v>30</v>
      </c>
      <c r="V136" t="s">
        <v>31</v>
      </c>
    </row>
    <row r="137" spans="1:22" ht="12.75">
      <c r="A137">
        <v>2019</v>
      </c>
      <c r="B137" t="s">
        <v>63</v>
      </c>
      <c r="C137" t="s">
        <v>64</v>
      </c>
      <c r="D137">
        <f>HYPERLINK("https://www.amazon.co.uk/exec/obidos/ASIN/B07MV2R2Z3","Chromebook x360 14 G1")</f>
        <v>0</v>
      </c>
      <c r="E137" t="s">
        <v>33</v>
      </c>
      <c r="F137" t="s">
        <v>34</v>
      </c>
      <c r="G137" t="s">
        <v>149</v>
      </c>
      <c r="H137" t="s">
        <v>150</v>
      </c>
      <c r="I137">
        <v>4</v>
      </c>
      <c r="J137">
        <v>8838</v>
      </c>
      <c r="K137">
        <v>18200</v>
      </c>
      <c r="L137">
        <v>5600</v>
      </c>
      <c r="M137" t="s">
        <v>151</v>
      </c>
      <c r="N137" t="s">
        <v>148</v>
      </c>
      <c r="O137" t="s">
        <v>109</v>
      </c>
      <c r="P137" t="s">
        <v>80</v>
      </c>
      <c r="Q137" t="s">
        <v>223</v>
      </c>
      <c r="R137" t="s">
        <v>224</v>
      </c>
      <c r="S137" t="s">
        <v>30</v>
      </c>
      <c r="T137" t="s">
        <v>30</v>
      </c>
      <c r="U137" t="s">
        <v>30</v>
      </c>
      <c r="V137" t="s">
        <v>31</v>
      </c>
    </row>
    <row r="138" spans="1:22" ht="12.75">
      <c r="A138">
        <v>2019</v>
      </c>
      <c r="B138" t="s">
        <v>124</v>
      </c>
      <c r="C138" t="s">
        <v>64</v>
      </c>
      <c r="D138">
        <f>HYPERLINK("https://www.amazon.com/exec/obidos/ASIN/B07VZ39199","Chromebook x360 14b")</f>
        <v>0</v>
      </c>
      <c r="E138" t="s">
        <v>33</v>
      </c>
      <c r="F138" t="s">
        <v>49</v>
      </c>
      <c r="G138" t="s">
        <v>117</v>
      </c>
      <c r="H138" t="s">
        <v>51</v>
      </c>
      <c r="I138">
        <v>2</v>
      </c>
      <c r="J138">
        <v>1465</v>
      </c>
      <c r="K138">
        <v>3900</v>
      </c>
      <c r="L138">
        <v>2200</v>
      </c>
      <c r="M138" t="s">
        <v>118</v>
      </c>
      <c r="N138" t="s">
        <v>52</v>
      </c>
      <c r="O138" t="s">
        <v>53</v>
      </c>
      <c r="P138" t="s">
        <v>127</v>
      </c>
      <c r="Q138" t="s">
        <v>220</v>
      </c>
      <c r="R138" t="s">
        <v>217</v>
      </c>
      <c r="S138" t="s">
        <v>31</v>
      </c>
      <c r="T138" t="s">
        <v>30</v>
      </c>
      <c r="U138" t="s">
        <v>30</v>
      </c>
      <c r="V138" t="s">
        <v>31</v>
      </c>
    </row>
    <row r="139" spans="1:22" ht="12.75">
      <c r="A139">
        <v>2019</v>
      </c>
      <c r="B139" t="s">
        <v>124</v>
      </c>
      <c r="C139" t="s">
        <v>64</v>
      </c>
      <c r="D139">
        <f>HYPERLINK("https://www.amazon.com/exec/obidos/ASIN/B08121JCC5","Chromebook x360 14b")</f>
        <v>0</v>
      </c>
      <c r="E139" t="s">
        <v>33</v>
      </c>
      <c r="F139" t="s">
        <v>49</v>
      </c>
      <c r="G139" t="s">
        <v>160</v>
      </c>
      <c r="H139" t="s">
        <v>51</v>
      </c>
      <c r="I139">
        <v>4</v>
      </c>
      <c r="J139">
        <v>2452</v>
      </c>
      <c r="K139">
        <v>6700</v>
      </c>
      <c r="L139">
        <v>2200</v>
      </c>
      <c r="M139">
        <v>16900</v>
      </c>
      <c r="N139" t="s">
        <v>52</v>
      </c>
      <c r="O139" t="s">
        <v>109</v>
      </c>
      <c r="P139" t="s">
        <v>127</v>
      </c>
      <c r="Q139" t="s">
        <v>220</v>
      </c>
      <c r="R139" t="s">
        <v>217</v>
      </c>
      <c r="S139" t="s">
        <v>31</v>
      </c>
      <c r="T139" t="s">
        <v>30</v>
      </c>
      <c r="U139" t="s">
        <v>30</v>
      </c>
      <c r="V139" t="s">
        <v>31</v>
      </c>
    </row>
    <row r="140" spans="1:22" ht="12.75">
      <c r="A140">
        <v>2019</v>
      </c>
      <c r="B140" t="s">
        <v>124</v>
      </c>
      <c r="C140" t="s">
        <v>64</v>
      </c>
      <c r="D140">
        <f>HYPERLINK("https://www.amazon.com/exec/obidos/ASIN/B081SXQLQ9","Chromebook x360 14b")</f>
        <v>0</v>
      </c>
      <c r="E140" t="s">
        <v>33</v>
      </c>
      <c r="F140" t="s">
        <v>34</v>
      </c>
      <c r="G140" t="s">
        <v>160</v>
      </c>
      <c r="H140" t="s">
        <v>51</v>
      </c>
      <c r="I140">
        <v>4</v>
      </c>
      <c r="J140">
        <v>2452</v>
      </c>
      <c r="K140">
        <v>6700</v>
      </c>
      <c r="L140">
        <v>2200</v>
      </c>
      <c r="M140">
        <v>16900</v>
      </c>
      <c r="N140" t="s">
        <v>52</v>
      </c>
      <c r="O140" t="s">
        <v>109</v>
      </c>
      <c r="P140" t="s">
        <v>127</v>
      </c>
      <c r="Q140" t="s">
        <v>220</v>
      </c>
      <c r="R140" t="s">
        <v>217</v>
      </c>
      <c r="S140" t="s">
        <v>30</v>
      </c>
      <c r="T140" t="s">
        <v>30</v>
      </c>
      <c r="U140" t="s">
        <v>30</v>
      </c>
      <c r="V140" t="s">
        <v>31</v>
      </c>
    </row>
    <row r="141" spans="1:22" ht="12.75">
      <c r="A141">
        <v>2019</v>
      </c>
      <c r="B141" t="s">
        <v>124</v>
      </c>
      <c r="C141" t="s">
        <v>84</v>
      </c>
      <c r="D141">
        <f>HYPERLINK("https://www.amazon.com/exec/obidos/ASIN/B07Z1KJ2D8","100e Chromebook 2 nd gen")</f>
        <v>0</v>
      </c>
      <c r="E141" t="s">
        <v>48</v>
      </c>
      <c r="F141" t="s">
        <v>49</v>
      </c>
      <c r="G141" t="s">
        <v>170</v>
      </c>
      <c r="H141" t="s">
        <v>36</v>
      </c>
      <c r="I141">
        <v>4</v>
      </c>
      <c r="J141" t="s">
        <v>26</v>
      </c>
      <c r="K141">
        <v>2950</v>
      </c>
      <c r="L141">
        <v>1450</v>
      </c>
      <c r="M141" t="s">
        <v>171</v>
      </c>
      <c r="N141" t="s">
        <v>52</v>
      </c>
      <c r="O141" t="s">
        <v>73</v>
      </c>
      <c r="P141" t="s">
        <v>74</v>
      </c>
      <c r="Q141" t="s">
        <v>232</v>
      </c>
      <c r="R141" t="s">
        <v>233</v>
      </c>
      <c r="S141" t="s">
        <v>31</v>
      </c>
      <c r="T141" t="s">
        <v>31</v>
      </c>
      <c r="U141" t="s">
        <v>30</v>
      </c>
      <c r="V141" t="s">
        <v>31</v>
      </c>
    </row>
    <row r="142" spans="1:22" ht="12.75">
      <c r="A142">
        <v>2019</v>
      </c>
      <c r="B142" t="s">
        <v>121</v>
      </c>
      <c r="C142" t="s">
        <v>84</v>
      </c>
      <c r="D142">
        <f>HYPERLINK("https://www.amazon.com/exec/obidos/ASIN/B07QD9VZJD","100e Chromebook 2 nd gen")</f>
        <v>0</v>
      </c>
      <c r="E142" t="s">
        <v>48</v>
      </c>
      <c r="F142" t="s">
        <v>49</v>
      </c>
      <c r="G142" t="s">
        <v>117</v>
      </c>
      <c r="H142" t="s">
        <v>51</v>
      </c>
      <c r="I142">
        <v>2</v>
      </c>
      <c r="J142">
        <v>1465</v>
      </c>
      <c r="K142">
        <v>3900</v>
      </c>
      <c r="L142">
        <v>2200</v>
      </c>
      <c r="M142" t="s">
        <v>118</v>
      </c>
      <c r="N142" t="s">
        <v>52</v>
      </c>
      <c r="O142" t="s">
        <v>53</v>
      </c>
      <c r="P142" t="s">
        <v>74</v>
      </c>
      <c r="Q142" t="s">
        <v>232</v>
      </c>
      <c r="R142" t="s">
        <v>233</v>
      </c>
      <c r="S142" t="s">
        <v>31</v>
      </c>
      <c r="T142" t="s">
        <v>31</v>
      </c>
      <c r="U142" t="s">
        <v>30</v>
      </c>
      <c r="V142" t="s">
        <v>31</v>
      </c>
    </row>
    <row r="143" spans="1:22" ht="12.75">
      <c r="A143">
        <v>2019</v>
      </c>
      <c r="B143" t="s">
        <v>22</v>
      </c>
      <c r="C143" t="s">
        <v>84</v>
      </c>
      <c r="D143">
        <f>HYPERLINK("https://www.amazon.com/exec/obidos/ASIN/B07PVJWGJ6","300e Chromebook")</f>
        <v>0</v>
      </c>
      <c r="E143" t="s">
        <v>48</v>
      </c>
      <c r="F143" t="s">
        <v>49</v>
      </c>
      <c r="G143" t="s">
        <v>170</v>
      </c>
      <c r="H143" t="s">
        <v>36</v>
      </c>
      <c r="I143">
        <v>4</v>
      </c>
      <c r="J143" t="s">
        <v>26</v>
      </c>
      <c r="K143">
        <v>2950</v>
      </c>
      <c r="L143">
        <v>1450</v>
      </c>
      <c r="M143" t="s">
        <v>171</v>
      </c>
      <c r="N143" t="s">
        <v>52</v>
      </c>
      <c r="O143" t="s">
        <v>53</v>
      </c>
      <c r="P143" t="s">
        <v>74</v>
      </c>
      <c r="Q143" t="s">
        <v>234</v>
      </c>
      <c r="R143" t="s">
        <v>235</v>
      </c>
      <c r="S143" t="s">
        <v>30</v>
      </c>
      <c r="T143" t="s">
        <v>31</v>
      </c>
      <c r="U143" t="s">
        <v>30</v>
      </c>
      <c r="V143" t="s">
        <v>31</v>
      </c>
    </row>
    <row r="144" spans="1:22" ht="12.75">
      <c r="A144">
        <v>2019</v>
      </c>
      <c r="B144" t="s">
        <v>22</v>
      </c>
      <c r="C144" t="s">
        <v>84</v>
      </c>
      <c r="D144">
        <f>HYPERLINK("https://www.amazon.com/exec/obidos/ASIN/B07Q7JQC7H","300e Chromebook 2 nd gen")</f>
        <v>0</v>
      </c>
      <c r="E144" t="s">
        <v>48</v>
      </c>
      <c r="F144" t="s">
        <v>49</v>
      </c>
      <c r="G144" t="s">
        <v>170</v>
      </c>
      <c r="H144" t="s">
        <v>36</v>
      </c>
      <c r="I144">
        <v>4</v>
      </c>
      <c r="J144" t="s">
        <v>26</v>
      </c>
      <c r="K144">
        <v>2950</v>
      </c>
      <c r="L144">
        <v>1450</v>
      </c>
      <c r="M144" t="s">
        <v>171</v>
      </c>
      <c r="N144" t="s">
        <v>52</v>
      </c>
      <c r="O144" t="s">
        <v>53</v>
      </c>
      <c r="P144" t="s">
        <v>74</v>
      </c>
      <c r="Q144" t="s">
        <v>234</v>
      </c>
      <c r="R144" t="s">
        <v>235</v>
      </c>
      <c r="S144" t="s">
        <v>30</v>
      </c>
      <c r="T144" t="s">
        <v>30</v>
      </c>
      <c r="U144" t="s">
        <v>30</v>
      </c>
      <c r="V144" t="s">
        <v>31</v>
      </c>
    </row>
    <row r="145" spans="1:22" ht="12.75">
      <c r="A145">
        <v>2019</v>
      </c>
      <c r="B145" t="s">
        <v>135</v>
      </c>
      <c r="C145" t="s">
        <v>84</v>
      </c>
      <c r="D145">
        <f>HYPERLINK("https://www.amazon.com/exec/obidos/ASIN/B07XQHTMGF","300e Chromebook 2 nd gen")</f>
        <v>0</v>
      </c>
      <c r="E145" t="s">
        <v>48</v>
      </c>
      <c r="F145" t="s">
        <v>49</v>
      </c>
      <c r="G145" t="s">
        <v>117</v>
      </c>
      <c r="H145" t="s">
        <v>51</v>
      </c>
      <c r="I145">
        <v>2</v>
      </c>
      <c r="J145">
        <v>1465</v>
      </c>
      <c r="K145">
        <v>3900</v>
      </c>
      <c r="L145">
        <v>2200</v>
      </c>
      <c r="M145" t="s">
        <v>118</v>
      </c>
      <c r="N145" t="s">
        <v>52</v>
      </c>
      <c r="O145" t="s">
        <v>53</v>
      </c>
      <c r="P145" t="s">
        <v>74</v>
      </c>
      <c r="Q145" t="s">
        <v>234</v>
      </c>
      <c r="R145" t="s">
        <v>235</v>
      </c>
      <c r="S145" t="s">
        <v>30</v>
      </c>
      <c r="T145" t="s">
        <v>30</v>
      </c>
      <c r="U145" t="s">
        <v>30</v>
      </c>
      <c r="V145" t="s">
        <v>31</v>
      </c>
    </row>
    <row r="146" spans="1:22" ht="12.75">
      <c r="A146">
        <v>2019</v>
      </c>
      <c r="B146" t="s">
        <v>22</v>
      </c>
      <c r="C146" t="s">
        <v>84</v>
      </c>
      <c r="D146">
        <f>HYPERLINK("https://www.amazon.com/exec/obidos/ASIN/B07Q6XP5VJ","500e Chromebook 2 nd gen")</f>
        <v>0</v>
      </c>
      <c r="E146" t="s">
        <v>48</v>
      </c>
      <c r="F146" t="s">
        <v>49</v>
      </c>
      <c r="G146" t="s">
        <v>122</v>
      </c>
      <c r="H146" t="s">
        <v>51</v>
      </c>
      <c r="I146">
        <v>4</v>
      </c>
      <c r="J146">
        <v>2324</v>
      </c>
      <c r="K146">
        <v>6200</v>
      </c>
      <c r="L146">
        <v>2000</v>
      </c>
      <c r="M146">
        <v>15400</v>
      </c>
      <c r="N146" t="s">
        <v>52</v>
      </c>
      <c r="O146" t="s">
        <v>53</v>
      </c>
      <c r="P146" t="s">
        <v>74</v>
      </c>
      <c r="Q146" t="s">
        <v>234</v>
      </c>
      <c r="R146" t="s">
        <v>235</v>
      </c>
      <c r="S146" t="s">
        <v>30</v>
      </c>
      <c r="T146" t="s">
        <v>30</v>
      </c>
      <c r="U146" t="s">
        <v>30</v>
      </c>
      <c r="V146" t="s">
        <v>30</v>
      </c>
    </row>
    <row r="147" spans="1:22" ht="12.75">
      <c r="A147">
        <v>2019</v>
      </c>
      <c r="B147" t="s">
        <v>83</v>
      </c>
      <c r="C147" t="s">
        <v>84</v>
      </c>
      <c r="D147">
        <f>HYPERLINK("https://www.amazon.com/exec/obidos/ASIN/B07RN8SSTJ","Chromebook 14E")</f>
        <v>0</v>
      </c>
      <c r="E147" t="s">
        <v>33</v>
      </c>
      <c r="F147" t="s">
        <v>34</v>
      </c>
      <c r="G147" t="s">
        <v>113</v>
      </c>
      <c r="H147" t="s">
        <v>43</v>
      </c>
      <c r="I147">
        <v>2</v>
      </c>
      <c r="J147">
        <v>1539</v>
      </c>
      <c r="K147">
        <v>2300</v>
      </c>
      <c r="L147">
        <v>1500</v>
      </c>
      <c r="M147" t="s">
        <v>114</v>
      </c>
      <c r="N147" t="s">
        <v>52</v>
      </c>
      <c r="O147" t="s">
        <v>53</v>
      </c>
      <c r="P147" t="s">
        <v>74</v>
      </c>
      <c r="Q147" t="s">
        <v>236</v>
      </c>
      <c r="R147" t="s">
        <v>237</v>
      </c>
      <c r="S147" t="s">
        <v>31</v>
      </c>
      <c r="T147" t="s">
        <v>31</v>
      </c>
      <c r="U147" t="s">
        <v>30</v>
      </c>
      <c r="V147" t="s">
        <v>31</v>
      </c>
    </row>
    <row r="148" spans="1:22" ht="12.75">
      <c r="A148">
        <v>2019</v>
      </c>
      <c r="B148" t="s">
        <v>83</v>
      </c>
      <c r="C148" t="s">
        <v>84</v>
      </c>
      <c r="D148">
        <f>HYPERLINK("https://www.amazon.com/exec/obidos/ASIN/B07RZTHZVY","Chromebook 14E")</f>
        <v>0</v>
      </c>
      <c r="E148" t="s">
        <v>33</v>
      </c>
      <c r="F148" t="s">
        <v>34</v>
      </c>
      <c r="G148" t="s">
        <v>113</v>
      </c>
      <c r="H148" t="s">
        <v>43</v>
      </c>
      <c r="I148">
        <v>2</v>
      </c>
      <c r="J148">
        <v>1539</v>
      </c>
      <c r="K148">
        <v>2300</v>
      </c>
      <c r="L148">
        <v>1500</v>
      </c>
      <c r="M148" t="s">
        <v>114</v>
      </c>
      <c r="N148" t="s">
        <v>52</v>
      </c>
      <c r="O148" t="s">
        <v>53</v>
      </c>
      <c r="P148" t="s">
        <v>74</v>
      </c>
      <c r="Q148" t="s">
        <v>236</v>
      </c>
      <c r="R148" t="s">
        <v>237</v>
      </c>
      <c r="S148" t="s">
        <v>30</v>
      </c>
      <c r="T148" t="s">
        <v>30</v>
      </c>
      <c r="U148" t="s">
        <v>30</v>
      </c>
      <c r="V148" t="s">
        <v>31</v>
      </c>
    </row>
    <row r="149" spans="1:22" ht="12.75">
      <c r="A149">
        <v>2019</v>
      </c>
      <c r="B149" t="s">
        <v>112</v>
      </c>
      <c r="C149" t="s">
        <v>84</v>
      </c>
      <c r="D149">
        <f>HYPERLINK("https://www.amazon.com/exec/obidos/ASIN/B07ZZ7Z6VJ","Chromebook C340-11")</f>
        <v>0</v>
      </c>
      <c r="E149" t="s">
        <v>48</v>
      </c>
      <c r="F149" t="s">
        <v>49</v>
      </c>
      <c r="G149" t="s">
        <v>117</v>
      </c>
      <c r="H149" t="s">
        <v>51</v>
      </c>
      <c r="I149">
        <v>2</v>
      </c>
      <c r="J149">
        <v>1465</v>
      </c>
      <c r="K149">
        <v>3900</v>
      </c>
      <c r="L149">
        <v>2200</v>
      </c>
      <c r="M149" t="s">
        <v>118</v>
      </c>
      <c r="N149" t="s">
        <v>52</v>
      </c>
      <c r="O149" t="s">
        <v>28</v>
      </c>
      <c r="P149" t="s">
        <v>74</v>
      </c>
      <c r="Q149" t="s">
        <v>238</v>
      </c>
      <c r="R149" t="s">
        <v>239</v>
      </c>
      <c r="S149" t="s">
        <v>30</v>
      </c>
      <c r="T149" t="s">
        <v>30</v>
      </c>
      <c r="U149" t="s">
        <v>30</v>
      </c>
      <c r="V149" t="s">
        <v>31</v>
      </c>
    </row>
    <row r="150" spans="1:22" ht="12.75">
      <c r="A150">
        <v>2019</v>
      </c>
      <c r="B150" t="s">
        <v>112</v>
      </c>
      <c r="C150" t="s">
        <v>84</v>
      </c>
      <c r="D150">
        <f>HYPERLINK("https://www.amazon.com/exec/obidos/ASIN/B07XH9876R","Chromebook C340-15")</f>
        <v>0</v>
      </c>
      <c r="E150" t="s">
        <v>132</v>
      </c>
      <c r="F150" t="s">
        <v>34</v>
      </c>
      <c r="G150" t="s">
        <v>137</v>
      </c>
      <c r="H150" t="s">
        <v>138</v>
      </c>
      <c r="I150">
        <v>2</v>
      </c>
      <c r="J150">
        <v>3190</v>
      </c>
      <c r="K150">
        <v>6000</v>
      </c>
      <c r="L150">
        <v>3100</v>
      </c>
      <c r="M150" t="s">
        <v>26</v>
      </c>
      <c r="N150" t="s">
        <v>52</v>
      </c>
      <c r="O150" t="s">
        <v>53</v>
      </c>
      <c r="P150" t="s">
        <v>74</v>
      </c>
      <c r="Q150" t="s">
        <v>240</v>
      </c>
      <c r="R150" t="s">
        <v>241</v>
      </c>
      <c r="S150" t="s">
        <v>30</v>
      </c>
      <c r="T150" t="s">
        <v>30</v>
      </c>
      <c r="U150" t="s">
        <v>30</v>
      </c>
      <c r="V150" t="s">
        <v>31</v>
      </c>
    </row>
    <row r="151" spans="1:22" ht="12.75">
      <c r="A151">
        <v>2019</v>
      </c>
      <c r="B151" t="s">
        <v>112</v>
      </c>
      <c r="C151" t="s">
        <v>84</v>
      </c>
      <c r="D151">
        <f>HYPERLINK("https://www.amazon.com/exec/obidos/ASIN/B07XC7GVRK","Chromebook C340-15")</f>
        <v>0</v>
      </c>
      <c r="E151" t="s">
        <v>132</v>
      </c>
      <c r="F151" t="s">
        <v>34</v>
      </c>
      <c r="G151" t="s">
        <v>141</v>
      </c>
      <c r="H151" t="s">
        <v>142</v>
      </c>
      <c r="I151">
        <v>2</v>
      </c>
      <c r="J151">
        <v>5326</v>
      </c>
      <c r="K151">
        <v>9200</v>
      </c>
      <c r="L151">
        <v>4550</v>
      </c>
      <c r="M151" t="s">
        <v>143</v>
      </c>
      <c r="N151" t="s">
        <v>52</v>
      </c>
      <c r="O151" t="s">
        <v>89</v>
      </c>
      <c r="P151" t="s">
        <v>74</v>
      </c>
      <c r="Q151" t="s">
        <v>240</v>
      </c>
      <c r="R151" t="s">
        <v>241</v>
      </c>
      <c r="S151" t="s">
        <v>30</v>
      </c>
      <c r="T151" t="s">
        <v>30</v>
      </c>
      <c r="U151" t="s">
        <v>30</v>
      </c>
      <c r="V151" t="s">
        <v>31</v>
      </c>
    </row>
    <row r="152" spans="1:22" ht="12.75">
      <c r="A152">
        <v>2019</v>
      </c>
      <c r="B152" t="s">
        <v>112</v>
      </c>
      <c r="C152" t="s">
        <v>84</v>
      </c>
      <c r="D152">
        <f>HYPERLINK("https://www.amazon.com/exec/obidos/ASIN/B081CZRMCV","Chromebook S340")</f>
        <v>0</v>
      </c>
      <c r="E152" t="s">
        <v>33</v>
      </c>
      <c r="F152" t="s">
        <v>49</v>
      </c>
      <c r="G152" t="s">
        <v>117</v>
      </c>
      <c r="H152" t="s">
        <v>51</v>
      </c>
      <c r="I152">
        <v>2</v>
      </c>
      <c r="J152">
        <v>1465</v>
      </c>
      <c r="K152">
        <v>3900</v>
      </c>
      <c r="L152">
        <v>2200</v>
      </c>
      <c r="M152" t="s">
        <v>118</v>
      </c>
      <c r="N152" t="s">
        <v>52</v>
      </c>
      <c r="O152" t="s">
        <v>28</v>
      </c>
      <c r="P152" t="s">
        <v>74</v>
      </c>
      <c r="Q152" t="s">
        <v>75</v>
      </c>
      <c r="R152" t="s">
        <v>76</v>
      </c>
      <c r="S152" t="s">
        <v>31</v>
      </c>
      <c r="T152" t="s">
        <v>31</v>
      </c>
      <c r="U152" t="s">
        <v>30</v>
      </c>
      <c r="V152" t="s">
        <v>31</v>
      </c>
    </row>
    <row r="153" spans="1:22" ht="12.75">
      <c r="A153">
        <v>2019</v>
      </c>
      <c r="B153" t="s">
        <v>112</v>
      </c>
      <c r="C153" t="s">
        <v>84</v>
      </c>
      <c r="D153">
        <f>HYPERLINK("https://www.amazon.co.uk/exec/obidos/ASIN/B0813XTDS2","Chromebook S340")</f>
        <v>0</v>
      </c>
      <c r="E153" t="s">
        <v>33</v>
      </c>
      <c r="F153" t="s">
        <v>34</v>
      </c>
      <c r="G153" t="s">
        <v>117</v>
      </c>
      <c r="H153" t="s">
        <v>51</v>
      </c>
      <c r="I153">
        <v>2</v>
      </c>
      <c r="J153">
        <v>1465</v>
      </c>
      <c r="K153">
        <v>3900</v>
      </c>
      <c r="L153">
        <v>2200</v>
      </c>
      <c r="M153" t="s">
        <v>118</v>
      </c>
      <c r="N153" t="s">
        <v>52</v>
      </c>
      <c r="O153" t="s">
        <v>109</v>
      </c>
      <c r="P153" t="s">
        <v>74</v>
      </c>
      <c r="Q153" t="s">
        <v>75</v>
      </c>
      <c r="R153" t="s">
        <v>76</v>
      </c>
      <c r="S153" t="s">
        <v>31</v>
      </c>
      <c r="T153" t="s">
        <v>31</v>
      </c>
      <c r="U153" t="s">
        <v>30</v>
      </c>
      <c r="V153" t="s">
        <v>31</v>
      </c>
    </row>
    <row r="154" spans="1:22" ht="12.75">
      <c r="A154">
        <v>2019</v>
      </c>
      <c r="B154" t="s">
        <v>112</v>
      </c>
      <c r="C154" t="s">
        <v>84</v>
      </c>
      <c r="D154">
        <f>HYPERLINK("https://www.lenovo.com/us/en/laptops/lenovo/student-chromebooks/Lenovo-Chromebook-S340-14/p/88LGCS31289","Chromebook S340")</f>
        <v>0</v>
      </c>
      <c r="E154" t="s">
        <v>33</v>
      </c>
      <c r="F154" t="s">
        <v>34</v>
      </c>
      <c r="G154" t="s">
        <v>117</v>
      </c>
      <c r="H154" t="s">
        <v>51</v>
      </c>
      <c r="I154">
        <v>2</v>
      </c>
      <c r="J154">
        <v>1465</v>
      </c>
      <c r="K154">
        <v>3900</v>
      </c>
      <c r="L154">
        <v>2200</v>
      </c>
      <c r="M154" t="s">
        <v>118</v>
      </c>
      <c r="N154" t="s">
        <v>52</v>
      </c>
      <c r="O154" t="s">
        <v>53</v>
      </c>
      <c r="P154" t="s">
        <v>74</v>
      </c>
      <c r="Q154" t="s">
        <v>75</v>
      </c>
      <c r="R154" t="s">
        <v>76</v>
      </c>
      <c r="S154" t="s">
        <v>30</v>
      </c>
      <c r="T154" t="s">
        <v>30</v>
      </c>
      <c r="U154" t="s">
        <v>30</v>
      </c>
      <c r="V154" t="s">
        <v>31</v>
      </c>
    </row>
    <row r="155" spans="1:22" ht="12.75">
      <c r="A155">
        <v>2019</v>
      </c>
      <c r="B155" t="s">
        <v>112</v>
      </c>
      <c r="C155" t="s">
        <v>84</v>
      </c>
      <c r="D155">
        <f>HYPERLINK("https://www.amazon.co.uk/exec/obidos/ASIN/B0844SQD5G","Chromebook S345")</f>
        <v>0</v>
      </c>
      <c r="E155" t="s">
        <v>33</v>
      </c>
      <c r="F155" t="s">
        <v>34</v>
      </c>
      <c r="G155" t="s">
        <v>113</v>
      </c>
      <c r="H155" t="s">
        <v>43</v>
      </c>
      <c r="I155">
        <v>2</v>
      </c>
      <c r="J155">
        <v>1539</v>
      </c>
      <c r="K155">
        <v>2300</v>
      </c>
      <c r="L155">
        <v>1500</v>
      </c>
      <c r="M155" t="s">
        <v>114</v>
      </c>
      <c r="N155" t="s">
        <v>52</v>
      </c>
      <c r="O155" t="s">
        <v>53</v>
      </c>
      <c r="P155" t="s">
        <v>74</v>
      </c>
      <c r="Q155" t="s">
        <v>242</v>
      </c>
      <c r="R155" t="s">
        <v>237</v>
      </c>
      <c r="S155" t="s">
        <v>31</v>
      </c>
      <c r="T155" t="s">
        <v>31</v>
      </c>
      <c r="U155" t="s">
        <v>30</v>
      </c>
      <c r="V155" t="s">
        <v>31</v>
      </c>
    </row>
    <row r="156" spans="1:22" ht="12.75">
      <c r="A156">
        <v>2019</v>
      </c>
      <c r="B156" t="s">
        <v>112</v>
      </c>
      <c r="C156" t="s">
        <v>84</v>
      </c>
      <c r="D156">
        <f>HYPERLINK("https://www.amazon.com/exec/obidos/ASIN/B07XH9RW1G","Chromebook S345")</f>
        <v>0</v>
      </c>
      <c r="E156" t="s">
        <v>33</v>
      </c>
      <c r="F156" t="s">
        <v>34</v>
      </c>
      <c r="G156" t="s">
        <v>71</v>
      </c>
      <c r="H156" t="s">
        <v>45</v>
      </c>
      <c r="I156">
        <v>2</v>
      </c>
      <c r="J156">
        <v>1962</v>
      </c>
      <c r="K156">
        <v>2500</v>
      </c>
      <c r="L156">
        <v>1650</v>
      </c>
      <c r="M156" t="s">
        <v>26</v>
      </c>
      <c r="N156" t="s">
        <v>52</v>
      </c>
      <c r="O156" t="s">
        <v>28</v>
      </c>
      <c r="P156" t="s">
        <v>74</v>
      </c>
      <c r="Q156" t="s">
        <v>242</v>
      </c>
      <c r="R156" t="s">
        <v>237</v>
      </c>
      <c r="S156" t="s">
        <v>31</v>
      </c>
      <c r="T156" t="s">
        <v>31</v>
      </c>
      <c r="U156" t="s">
        <v>30</v>
      </c>
      <c r="V156" t="s">
        <v>31</v>
      </c>
    </row>
    <row r="157" spans="1:22" ht="12.75">
      <c r="A157">
        <v>2019</v>
      </c>
      <c r="B157" t="s">
        <v>112</v>
      </c>
      <c r="C157" t="s">
        <v>84</v>
      </c>
      <c r="D157">
        <f>HYPERLINK("https://www.amazon.com/exec/obidos/ASIN/B0811ZJ3H9","Chromebook S345")</f>
        <v>0</v>
      </c>
      <c r="E157" t="s">
        <v>33</v>
      </c>
      <c r="F157" t="s">
        <v>34</v>
      </c>
      <c r="G157" t="s">
        <v>71</v>
      </c>
      <c r="H157" t="s">
        <v>45</v>
      </c>
      <c r="I157">
        <v>2</v>
      </c>
      <c r="J157">
        <v>1962</v>
      </c>
      <c r="K157">
        <v>2500</v>
      </c>
      <c r="L157">
        <v>1650</v>
      </c>
      <c r="M157" t="s">
        <v>26</v>
      </c>
      <c r="N157" t="s">
        <v>52</v>
      </c>
      <c r="O157" t="s">
        <v>53</v>
      </c>
      <c r="P157" t="s">
        <v>74</v>
      </c>
      <c r="Q157" t="s">
        <v>242</v>
      </c>
      <c r="R157" t="s">
        <v>237</v>
      </c>
      <c r="S157" t="s">
        <v>30</v>
      </c>
      <c r="T157" t="s">
        <v>30</v>
      </c>
      <c r="U157" t="s">
        <v>30</v>
      </c>
      <c r="V157" t="s">
        <v>31</v>
      </c>
    </row>
    <row r="158" spans="1:22" ht="12.75">
      <c r="A158">
        <v>2019</v>
      </c>
      <c r="B158" t="s">
        <v>46</v>
      </c>
      <c r="C158" t="s">
        <v>84</v>
      </c>
      <c r="D158">
        <f>HYPERLINK("https://www.amazon.com/exec/obidos/ASIN/B07RHMBR9D","Yoga Chromebook C630 (2019; 4k res.)")</f>
        <v>0</v>
      </c>
      <c r="E158" t="s">
        <v>132</v>
      </c>
      <c r="F158" t="s">
        <v>97</v>
      </c>
      <c r="G158" t="s">
        <v>144</v>
      </c>
      <c r="H158" t="s">
        <v>43</v>
      </c>
      <c r="I158">
        <v>4</v>
      </c>
      <c r="J158">
        <v>7658</v>
      </c>
      <c r="K158">
        <v>15500</v>
      </c>
      <c r="L158">
        <v>4600</v>
      </c>
      <c r="M158" t="s">
        <v>145</v>
      </c>
      <c r="N158" t="s">
        <v>98</v>
      </c>
      <c r="O158" t="s">
        <v>152</v>
      </c>
      <c r="P158" t="s">
        <v>74</v>
      </c>
      <c r="Q158" t="s">
        <v>243</v>
      </c>
      <c r="R158" t="s">
        <v>244</v>
      </c>
      <c r="S158" t="s">
        <v>30</v>
      </c>
      <c r="T158" t="s">
        <v>30</v>
      </c>
      <c r="U158" t="s">
        <v>30</v>
      </c>
      <c r="V158" t="s">
        <v>31</v>
      </c>
    </row>
    <row r="159" spans="1:22" ht="12.75">
      <c r="A159">
        <v>2019</v>
      </c>
      <c r="B159" t="s">
        <v>63</v>
      </c>
      <c r="C159" t="s">
        <v>245</v>
      </c>
      <c r="D159">
        <f>HYPERLINK("https://pcmergechrome.com.au/educational-chromebooks-116c/#what-we-offer","PCM-116C (AL116)")</f>
        <v>0</v>
      </c>
      <c r="E159" t="s">
        <v>48</v>
      </c>
      <c r="F159" t="s">
        <v>49</v>
      </c>
      <c r="G159" t="s">
        <v>174</v>
      </c>
      <c r="H159" t="s">
        <v>51</v>
      </c>
      <c r="I159">
        <v>2</v>
      </c>
      <c r="J159">
        <v>1144</v>
      </c>
      <c r="K159">
        <v>2900</v>
      </c>
      <c r="L159">
        <v>1650</v>
      </c>
      <c r="M159" t="s">
        <v>166</v>
      </c>
      <c r="N159" t="s">
        <v>52</v>
      </c>
      <c r="O159" t="s">
        <v>73</v>
      </c>
      <c r="P159" t="s">
        <v>74</v>
      </c>
      <c r="Q159" t="s">
        <v>110</v>
      </c>
      <c r="R159" t="s">
        <v>111</v>
      </c>
      <c r="S159" t="s">
        <v>30</v>
      </c>
      <c r="T159" t="s">
        <v>31</v>
      </c>
      <c r="U159" t="s">
        <v>30</v>
      </c>
      <c r="V159" t="s">
        <v>31</v>
      </c>
    </row>
    <row r="160" spans="1:22" ht="12.75">
      <c r="A160">
        <v>2019</v>
      </c>
      <c r="B160" t="s">
        <v>124</v>
      </c>
      <c r="C160" t="s">
        <v>96</v>
      </c>
      <c r="D160">
        <f>HYPERLINK("https://www.amazon.com/exec/obidos/ASIN/B07XQQS439","Chromebook 4")</f>
        <v>0</v>
      </c>
      <c r="E160" t="s">
        <v>48</v>
      </c>
      <c r="F160" t="s">
        <v>49</v>
      </c>
      <c r="G160" t="s">
        <v>117</v>
      </c>
      <c r="H160" t="s">
        <v>51</v>
      </c>
      <c r="I160">
        <v>2</v>
      </c>
      <c r="J160">
        <v>1465</v>
      </c>
      <c r="K160">
        <v>3900</v>
      </c>
      <c r="L160">
        <v>2200</v>
      </c>
      <c r="M160" t="s">
        <v>118</v>
      </c>
      <c r="N160" t="s">
        <v>246</v>
      </c>
      <c r="O160" t="s">
        <v>28</v>
      </c>
      <c r="P160" t="s">
        <v>127</v>
      </c>
      <c r="Q160" t="s">
        <v>238</v>
      </c>
      <c r="R160" t="s">
        <v>239</v>
      </c>
      <c r="S160" t="s">
        <v>31</v>
      </c>
      <c r="T160" t="s">
        <v>31</v>
      </c>
      <c r="U160" t="s">
        <v>30</v>
      </c>
      <c r="V160" t="s">
        <v>31</v>
      </c>
    </row>
    <row r="161" spans="1:22" ht="12.75">
      <c r="A161">
        <v>2019</v>
      </c>
      <c r="B161" t="s">
        <v>124</v>
      </c>
      <c r="C161" t="s">
        <v>96</v>
      </c>
      <c r="D161">
        <f>HYPERLINK("https://www.amazon.com/exec/obidos/ASIN/B07XL4JDQW","Chromebook 4?")</f>
        <v>0</v>
      </c>
      <c r="E161" t="s">
        <v>132</v>
      </c>
      <c r="F161" t="s">
        <v>34</v>
      </c>
      <c r="G161" t="s">
        <v>117</v>
      </c>
      <c r="H161" t="s">
        <v>51</v>
      </c>
      <c r="I161">
        <v>2</v>
      </c>
      <c r="J161">
        <v>1465</v>
      </c>
      <c r="K161">
        <v>3900</v>
      </c>
      <c r="L161">
        <v>2200</v>
      </c>
      <c r="M161" t="s">
        <v>118</v>
      </c>
      <c r="N161" t="s">
        <v>246</v>
      </c>
      <c r="O161" t="s">
        <v>28</v>
      </c>
      <c r="P161" t="s">
        <v>247</v>
      </c>
      <c r="Q161" t="s">
        <v>128</v>
      </c>
      <c r="R161" t="s">
        <v>129</v>
      </c>
      <c r="S161" t="s">
        <v>31</v>
      </c>
      <c r="T161" t="s">
        <v>31</v>
      </c>
      <c r="U161" t="s">
        <v>30</v>
      </c>
      <c r="V161" t="s">
        <v>31</v>
      </c>
    </row>
    <row r="162" spans="1:22" ht="12.75">
      <c r="A162">
        <v>2018</v>
      </c>
      <c r="B162" t="s">
        <v>63</v>
      </c>
      <c r="C162" t="s">
        <v>23</v>
      </c>
      <c r="D162">
        <f>HYPERLINK("https://www.amazon.com/exec/obidos/ASIN/B0795W86N4","Chromebook 11 (2018; CB3-132)")</f>
        <v>0</v>
      </c>
      <c r="E162" t="s">
        <v>48</v>
      </c>
      <c r="F162" t="s">
        <v>49</v>
      </c>
      <c r="G162" t="s">
        <v>248</v>
      </c>
      <c r="H162" t="s">
        <v>43</v>
      </c>
      <c r="I162">
        <v>2</v>
      </c>
      <c r="J162">
        <v>1040</v>
      </c>
      <c r="K162">
        <v>2200</v>
      </c>
      <c r="L162">
        <v>1200</v>
      </c>
      <c r="M162" t="s">
        <v>249</v>
      </c>
      <c r="N162" t="s">
        <v>250</v>
      </c>
      <c r="O162" t="s">
        <v>73</v>
      </c>
      <c r="P162" t="s">
        <v>74</v>
      </c>
      <c r="Q162" t="s">
        <v>172</v>
      </c>
      <c r="R162" t="s">
        <v>41</v>
      </c>
      <c r="S162" t="s">
        <v>30</v>
      </c>
      <c r="T162" t="s">
        <v>31</v>
      </c>
      <c r="U162" t="s">
        <v>30</v>
      </c>
      <c r="V162" t="s">
        <v>31</v>
      </c>
    </row>
    <row r="163" spans="1:22" ht="12.75">
      <c r="A163">
        <v>2018</v>
      </c>
      <c r="B163" t="s">
        <v>121</v>
      </c>
      <c r="C163" t="s">
        <v>23</v>
      </c>
      <c r="D163">
        <f>HYPERLINK("https://www.amazon.com/exec/obidos/ASIN/B07B7SMG3M","Chromebook 11 (2018; CB311-8H)")</f>
        <v>0</v>
      </c>
      <c r="E163" t="s">
        <v>48</v>
      </c>
      <c r="F163" t="s">
        <v>49</v>
      </c>
      <c r="G163" t="s">
        <v>174</v>
      </c>
      <c r="H163" t="s">
        <v>51</v>
      </c>
      <c r="I163">
        <v>2</v>
      </c>
      <c r="J163">
        <v>1144</v>
      </c>
      <c r="K163">
        <v>2900</v>
      </c>
      <c r="L163">
        <v>1650</v>
      </c>
      <c r="M163">
        <v>11000</v>
      </c>
      <c r="N163" t="s">
        <v>52</v>
      </c>
      <c r="O163" t="s">
        <v>73</v>
      </c>
      <c r="P163" t="s">
        <v>251</v>
      </c>
      <c r="Q163" t="s">
        <v>172</v>
      </c>
      <c r="R163" t="s">
        <v>41</v>
      </c>
      <c r="S163" t="s">
        <v>30</v>
      </c>
      <c r="T163" t="s">
        <v>31</v>
      </c>
      <c r="U163" t="s">
        <v>30</v>
      </c>
      <c r="V163" t="s">
        <v>31</v>
      </c>
    </row>
    <row r="164" spans="1:22" ht="12.75">
      <c r="A164">
        <v>2018</v>
      </c>
      <c r="B164" t="s">
        <v>121</v>
      </c>
      <c r="C164" t="s">
        <v>23</v>
      </c>
      <c r="D164">
        <f>HYPERLINK("https://www.amazon.fr/exec/obidos/ASIN/B07CQ65YYV","Chromebook 11 (2018; CB311-8HT)")</f>
        <v>0</v>
      </c>
      <c r="E164" t="s">
        <v>48</v>
      </c>
      <c r="F164" t="s">
        <v>49</v>
      </c>
      <c r="G164" t="s">
        <v>174</v>
      </c>
      <c r="H164" t="s">
        <v>51</v>
      </c>
      <c r="I164">
        <v>2</v>
      </c>
      <c r="J164">
        <v>1144</v>
      </c>
      <c r="K164">
        <v>2900</v>
      </c>
      <c r="L164">
        <v>1650</v>
      </c>
      <c r="M164">
        <v>11000</v>
      </c>
      <c r="N164" t="s">
        <v>52</v>
      </c>
      <c r="O164" t="s">
        <v>53</v>
      </c>
      <c r="P164" t="s">
        <v>251</v>
      </c>
      <c r="Q164" t="s">
        <v>172</v>
      </c>
      <c r="R164" t="s">
        <v>41</v>
      </c>
      <c r="S164" t="s">
        <v>30</v>
      </c>
      <c r="T164" t="s">
        <v>30</v>
      </c>
      <c r="U164" t="s">
        <v>30</v>
      </c>
      <c r="V164" t="s">
        <v>31</v>
      </c>
    </row>
    <row r="165" spans="1:22" ht="12.75">
      <c r="A165">
        <v>2018</v>
      </c>
      <c r="B165" t="s">
        <v>135</v>
      </c>
      <c r="C165" t="s">
        <v>23</v>
      </c>
      <c r="D165">
        <f>HYPERLINK("https://www.amazon.co.uk/exec/obidos/ASIN/B07FBBXX8N","Chromebook 11 (2018; CB311-8HT)")</f>
        <v>0</v>
      </c>
      <c r="E165" t="s">
        <v>48</v>
      </c>
      <c r="F165" t="s">
        <v>49</v>
      </c>
      <c r="G165" t="s">
        <v>252</v>
      </c>
      <c r="H165" t="s">
        <v>51</v>
      </c>
      <c r="I165">
        <v>4</v>
      </c>
      <c r="J165">
        <v>1822</v>
      </c>
      <c r="K165">
        <v>4900</v>
      </c>
      <c r="L165">
        <v>1600</v>
      </c>
      <c r="M165" t="s">
        <v>171</v>
      </c>
      <c r="N165" t="s">
        <v>52</v>
      </c>
      <c r="O165" t="s">
        <v>53</v>
      </c>
      <c r="P165" t="s">
        <v>251</v>
      </c>
      <c r="Q165" t="s">
        <v>172</v>
      </c>
      <c r="R165" t="s">
        <v>41</v>
      </c>
      <c r="S165" t="s">
        <v>30</v>
      </c>
      <c r="T165" t="s">
        <v>30</v>
      </c>
      <c r="U165" t="s">
        <v>30</v>
      </c>
      <c r="V165" t="s">
        <v>31</v>
      </c>
    </row>
    <row r="166" spans="1:22" ht="12.75">
      <c r="A166">
        <v>2018</v>
      </c>
      <c r="B166" t="s">
        <v>22</v>
      </c>
      <c r="C166" t="s">
        <v>23</v>
      </c>
      <c r="D166">
        <f>HYPERLINK("https://www.amazon.com/exec/obidos/ASIN/B0799Z328L","Chromebook 11 C732")</f>
        <v>0</v>
      </c>
      <c r="E166" t="s">
        <v>48</v>
      </c>
      <c r="F166" t="s">
        <v>49</v>
      </c>
      <c r="G166" t="s">
        <v>174</v>
      </c>
      <c r="H166" t="s">
        <v>51</v>
      </c>
      <c r="I166">
        <v>2</v>
      </c>
      <c r="J166">
        <v>1144</v>
      </c>
      <c r="K166">
        <v>2900</v>
      </c>
      <c r="L166">
        <v>1650</v>
      </c>
      <c r="M166" t="s">
        <v>166</v>
      </c>
      <c r="N166" t="s">
        <v>52</v>
      </c>
      <c r="O166" t="s">
        <v>53</v>
      </c>
      <c r="P166" t="s">
        <v>29</v>
      </c>
      <c r="Q166" t="s">
        <v>229</v>
      </c>
      <c r="R166" t="s">
        <v>95</v>
      </c>
      <c r="S166" t="s">
        <v>31</v>
      </c>
      <c r="T166" t="s">
        <v>31</v>
      </c>
      <c r="U166" t="s">
        <v>30</v>
      </c>
      <c r="V166" t="s">
        <v>31</v>
      </c>
    </row>
    <row r="167" spans="1:22" ht="12.75">
      <c r="A167">
        <v>2018</v>
      </c>
      <c r="B167" t="s">
        <v>22</v>
      </c>
      <c r="C167" t="s">
        <v>23</v>
      </c>
      <c r="D167">
        <f>HYPERLINK("https://www.amazon.com/exec/obidos/ASIN/B079B7B4X7","Chromebook 11 C732T")</f>
        <v>0</v>
      </c>
      <c r="E167" t="s">
        <v>48</v>
      </c>
      <c r="F167" t="s">
        <v>49</v>
      </c>
      <c r="G167" t="s">
        <v>174</v>
      </c>
      <c r="H167" t="s">
        <v>51</v>
      </c>
      <c r="I167">
        <v>2</v>
      </c>
      <c r="J167">
        <v>1144</v>
      </c>
      <c r="K167">
        <v>2900</v>
      </c>
      <c r="L167">
        <v>1650</v>
      </c>
      <c r="M167" t="s">
        <v>166</v>
      </c>
      <c r="N167" t="s">
        <v>52</v>
      </c>
      <c r="O167" t="s">
        <v>53</v>
      </c>
      <c r="P167" t="s">
        <v>29</v>
      </c>
      <c r="Q167" t="s">
        <v>229</v>
      </c>
      <c r="R167" t="s">
        <v>95</v>
      </c>
      <c r="S167" t="s">
        <v>30</v>
      </c>
      <c r="T167" t="s">
        <v>30</v>
      </c>
      <c r="U167" t="s">
        <v>30</v>
      </c>
      <c r="V167" t="s">
        <v>31</v>
      </c>
    </row>
    <row r="168" spans="1:22" ht="12.75">
      <c r="A168">
        <v>2018</v>
      </c>
      <c r="B168" t="s">
        <v>22</v>
      </c>
      <c r="C168" t="s">
        <v>23</v>
      </c>
      <c r="D168">
        <f>HYPERLINK("https://www.amazon.de/exec/obidos/ASIN/B07D3NHYMM","Chromebook 11 C732T")</f>
        <v>0</v>
      </c>
      <c r="E168" t="s">
        <v>48</v>
      </c>
      <c r="F168" t="s">
        <v>49</v>
      </c>
      <c r="G168" t="s">
        <v>252</v>
      </c>
      <c r="H168" t="s">
        <v>51</v>
      </c>
      <c r="I168">
        <v>4</v>
      </c>
      <c r="J168">
        <v>1822</v>
      </c>
      <c r="K168">
        <v>4900</v>
      </c>
      <c r="L168">
        <v>1600</v>
      </c>
      <c r="M168" t="s">
        <v>171</v>
      </c>
      <c r="N168" t="s">
        <v>52</v>
      </c>
      <c r="O168" t="s">
        <v>53</v>
      </c>
      <c r="P168" t="s">
        <v>29</v>
      </c>
      <c r="Q168" t="s">
        <v>229</v>
      </c>
      <c r="R168" t="s">
        <v>95</v>
      </c>
      <c r="S168" t="s">
        <v>30</v>
      </c>
      <c r="T168" t="s">
        <v>30</v>
      </c>
      <c r="U168" t="s">
        <v>30</v>
      </c>
      <c r="V168" t="s">
        <v>31</v>
      </c>
    </row>
    <row r="169" spans="1:22" ht="12.75">
      <c r="A169">
        <v>2018</v>
      </c>
      <c r="B169" t="s">
        <v>135</v>
      </c>
      <c r="C169" t="s">
        <v>23</v>
      </c>
      <c r="D169">
        <f>HYPERLINK("https://www.amazon.de/exec/obidos/ASIN/B07GZTP69Z","Chromebook 13 (CB713-1W)")</f>
        <v>0</v>
      </c>
      <c r="E169" t="s">
        <v>104</v>
      </c>
      <c r="F169" t="s">
        <v>105</v>
      </c>
      <c r="G169" t="s">
        <v>221</v>
      </c>
      <c r="H169" t="s">
        <v>138</v>
      </c>
      <c r="I169">
        <v>2</v>
      </c>
      <c r="J169">
        <v>3141</v>
      </c>
      <c r="K169">
        <v>6100</v>
      </c>
      <c r="L169">
        <v>3150</v>
      </c>
      <c r="M169" t="s">
        <v>222</v>
      </c>
      <c r="N169" t="s">
        <v>27</v>
      </c>
      <c r="O169" t="s">
        <v>109</v>
      </c>
      <c r="P169" t="s">
        <v>74</v>
      </c>
      <c r="Q169" t="s">
        <v>110</v>
      </c>
      <c r="R169" t="s">
        <v>111</v>
      </c>
      <c r="S169" t="s">
        <v>30</v>
      </c>
      <c r="T169" t="s">
        <v>31</v>
      </c>
      <c r="U169" t="s">
        <v>30</v>
      </c>
      <c r="V169" t="s">
        <v>31</v>
      </c>
    </row>
    <row r="170" spans="1:22" ht="12.75">
      <c r="A170">
        <v>2018</v>
      </c>
      <c r="B170" t="s">
        <v>112</v>
      </c>
      <c r="C170" t="s">
        <v>23</v>
      </c>
      <c r="D170">
        <f>HYPERLINK("https://www.amazon.com/exec/obidos/ASIN/B07K16JJGW","Chromebook 13 (CB713-1W)")</f>
        <v>0</v>
      </c>
      <c r="E170" t="s">
        <v>104</v>
      </c>
      <c r="F170" t="s">
        <v>105</v>
      </c>
      <c r="G170" t="s">
        <v>141</v>
      </c>
      <c r="H170" t="s">
        <v>142</v>
      </c>
      <c r="I170">
        <v>2</v>
      </c>
      <c r="J170">
        <v>5326</v>
      </c>
      <c r="K170">
        <v>9200</v>
      </c>
      <c r="L170">
        <v>4550</v>
      </c>
      <c r="M170" t="s">
        <v>143</v>
      </c>
      <c r="N170" t="s">
        <v>98</v>
      </c>
      <c r="O170" t="s">
        <v>28</v>
      </c>
      <c r="P170" t="s">
        <v>74</v>
      </c>
      <c r="Q170" t="s">
        <v>110</v>
      </c>
      <c r="R170" t="s">
        <v>111</v>
      </c>
      <c r="S170" t="s">
        <v>30</v>
      </c>
      <c r="T170" t="s">
        <v>31</v>
      </c>
      <c r="U170" t="s">
        <v>30</v>
      </c>
      <c r="V170" t="s">
        <v>31</v>
      </c>
    </row>
    <row r="171" spans="1:22" ht="12.75">
      <c r="A171">
        <v>2018</v>
      </c>
      <c r="B171" t="s">
        <v>112</v>
      </c>
      <c r="C171" t="s">
        <v>23</v>
      </c>
      <c r="D171">
        <f>HYPERLINK("https://www.amazon.com/exec/obidos/ASIN/B07JZFYCK9","Chromebook 13 (CB713-1W)")</f>
        <v>0</v>
      </c>
      <c r="E171" t="s">
        <v>104</v>
      </c>
      <c r="F171" t="s">
        <v>105</v>
      </c>
      <c r="G171" t="s">
        <v>144</v>
      </c>
      <c r="H171" t="s">
        <v>43</v>
      </c>
      <c r="I171">
        <v>4</v>
      </c>
      <c r="J171">
        <v>7658</v>
      </c>
      <c r="K171">
        <v>15500</v>
      </c>
      <c r="L171">
        <v>4600</v>
      </c>
      <c r="M171" t="s">
        <v>145</v>
      </c>
      <c r="N171" t="s">
        <v>38</v>
      </c>
      <c r="O171" t="s">
        <v>109</v>
      </c>
      <c r="P171" t="s">
        <v>74</v>
      </c>
      <c r="Q171" t="s">
        <v>110</v>
      </c>
      <c r="R171" t="s">
        <v>111</v>
      </c>
      <c r="S171" t="s">
        <v>30</v>
      </c>
      <c r="T171" t="s">
        <v>31</v>
      </c>
      <c r="U171" t="s">
        <v>30</v>
      </c>
      <c r="V171" t="s">
        <v>31</v>
      </c>
    </row>
    <row r="172" spans="1:22" ht="12.75">
      <c r="A172">
        <v>2018</v>
      </c>
      <c r="B172" t="s">
        <v>92</v>
      </c>
      <c r="C172" t="s">
        <v>23</v>
      </c>
      <c r="D172">
        <f>HYPERLINK("https://www.amazon.com/exec/obidos/ASIN/B07G66W1M7","Chromebook 15 (2018; CB315-1H)")</f>
        <v>0</v>
      </c>
      <c r="E172" t="s">
        <v>132</v>
      </c>
      <c r="F172" t="s">
        <v>34</v>
      </c>
      <c r="G172" t="s">
        <v>252</v>
      </c>
      <c r="H172" t="s">
        <v>51</v>
      </c>
      <c r="I172">
        <v>4</v>
      </c>
      <c r="J172">
        <v>1822</v>
      </c>
      <c r="K172">
        <v>4900</v>
      </c>
      <c r="L172">
        <v>1600</v>
      </c>
      <c r="M172" t="s">
        <v>171</v>
      </c>
      <c r="N172" t="s">
        <v>52</v>
      </c>
      <c r="O172" t="s">
        <v>53</v>
      </c>
      <c r="P172" t="s">
        <v>173</v>
      </c>
      <c r="Q172" t="s">
        <v>253</v>
      </c>
      <c r="R172" t="s">
        <v>254</v>
      </c>
      <c r="S172" t="s">
        <v>30</v>
      </c>
      <c r="T172" t="s">
        <v>31</v>
      </c>
      <c r="U172" t="s">
        <v>30</v>
      </c>
      <c r="V172" t="s">
        <v>31</v>
      </c>
    </row>
    <row r="173" spans="1:22" ht="12.75">
      <c r="A173">
        <v>2018</v>
      </c>
      <c r="B173" t="s">
        <v>92</v>
      </c>
      <c r="C173" t="s">
        <v>23</v>
      </c>
      <c r="D173">
        <f>HYPERLINK("https://www.acer.com/ac/en/US/content/model/NX.H09AA.001","Chromebook 15 (2018; CB315-1HT)")</f>
        <v>0</v>
      </c>
      <c r="E173" t="s">
        <v>132</v>
      </c>
      <c r="F173" t="s">
        <v>34</v>
      </c>
      <c r="G173" t="s">
        <v>174</v>
      </c>
      <c r="H173" t="s">
        <v>51</v>
      </c>
      <c r="I173">
        <v>2</v>
      </c>
      <c r="J173">
        <v>1144</v>
      </c>
      <c r="K173">
        <v>2900</v>
      </c>
      <c r="L173">
        <v>1650</v>
      </c>
      <c r="M173" t="s">
        <v>166</v>
      </c>
      <c r="N173" t="s">
        <v>52</v>
      </c>
      <c r="O173" t="s">
        <v>53</v>
      </c>
      <c r="P173" t="s">
        <v>80</v>
      </c>
      <c r="Q173" t="s">
        <v>255</v>
      </c>
      <c r="R173" t="s">
        <v>219</v>
      </c>
      <c r="S173" t="s">
        <v>30</v>
      </c>
      <c r="T173" t="s">
        <v>30</v>
      </c>
      <c r="U173" t="s">
        <v>30</v>
      </c>
      <c r="V173" t="s">
        <v>31</v>
      </c>
    </row>
    <row r="174" spans="1:22" ht="12.75">
      <c r="A174">
        <v>2018</v>
      </c>
      <c r="B174" t="s">
        <v>92</v>
      </c>
      <c r="C174" t="s">
        <v>23</v>
      </c>
      <c r="D174">
        <f>HYPERLINK("https://www.amazon.com/exec/obidos/ASIN/B07G66W5LK","Chromebook 15 (2018; CB315-1HT)")</f>
        <v>0</v>
      </c>
      <c r="E174" t="s">
        <v>132</v>
      </c>
      <c r="F174" t="s">
        <v>34</v>
      </c>
      <c r="G174" t="s">
        <v>252</v>
      </c>
      <c r="H174" t="s">
        <v>51</v>
      </c>
      <c r="I174">
        <v>4</v>
      </c>
      <c r="J174">
        <v>1822</v>
      </c>
      <c r="K174">
        <v>4900</v>
      </c>
      <c r="L174">
        <v>1600</v>
      </c>
      <c r="M174" t="s">
        <v>171</v>
      </c>
      <c r="N174" t="s">
        <v>52</v>
      </c>
      <c r="O174" t="s">
        <v>53</v>
      </c>
      <c r="P174" t="s">
        <v>80</v>
      </c>
      <c r="Q174" t="s">
        <v>255</v>
      </c>
      <c r="R174" t="s">
        <v>219</v>
      </c>
      <c r="S174" t="s">
        <v>30</v>
      </c>
      <c r="T174" t="s">
        <v>30</v>
      </c>
      <c r="U174" t="s">
        <v>30</v>
      </c>
      <c r="V174" t="s">
        <v>31</v>
      </c>
    </row>
    <row r="175" spans="1:22" ht="12.75">
      <c r="A175">
        <v>2018</v>
      </c>
      <c r="B175" t="s">
        <v>92</v>
      </c>
      <c r="C175" t="s">
        <v>23</v>
      </c>
      <c r="D175">
        <f>HYPERLINK("https://www.amazon.com/exec/obidos/ASIN/B07GM2TCPM","Chromebook 15 (2018; CB515-1HT)")</f>
        <v>0</v>
      </c>
      <c r="E175" t="s">
        <v>132</v>
      </c>
      <c r="F175" t="s">
        <v>34</v>
      </c>
      <c r="G175" t="s">
        <v>174</v>
      </c>
      <c r="H175" t="s">
        <v>51</v>
      </c>
      <c r="I175">
        <v>2</v>
      </c>
      <c r="J175">
        <v>1144</v>
      </c>
      <c r="K175">
        <v>2900</v>
      </c>
      <c r="L175">
        <v>1650</v>
      </c>
      <c r="M175" t="s">
        <v>166</v>
      </c>
      <c r="N175" t="s">
        <v>52</v>
      </c>
      <c r="O175" t="s">
        <v>53</v>
      </c>
      <c r="P175" t="s">
        <v>29</v>
      </c>
      <c r="Q175" t="s">
        <v>146</v>
      </c>
      <c r="R175" t="s">
        <v>147</v>
      </c>
      <c r="S175" t="s">
        <v>30</v>
      </c>
      <c r="T175" t="s">
        <v>30</v>
      </c>
      <c r="U175" t="s">
        <v>30</v>
      </c>
      <c r="V175" t="s">
        <v>31</v>
      </c>
    </row>
    <row r="176" spans="1:22" ht="12.75">
      <c r="A176">
        <v>2018</v>
      </c>
      <c r="B176" t="s">
        <v>169</v>
      </c>
      <c r="C176" t="s">
        <v>23</v>
      </c>
      <c r="D176">
        <f>HYPERLINK("https://www.amazon.com/exec/obidos/ASIN/B07N4HDYPY","Chromebook 514")</f>
        <v>0</v>
      </c>
      <c r="E176" t="s">
        <v>33</v>
      </c>
      <c r="F176" t="s">
        <v>49</v>
      </c>
      <c r="G176" t="s">
        <v>174</v>
      </c>
      <c r="H176" t="s">
        <v>51</v>
      </c>
      <c r="I176">
        <v>2</v>
      </c>
      <c r="J176">
        <v>1144</v>
      </c>
      <c r="K176">
        <v>2900</v>
      </c>
      <c r="L176">
        <v>1650</v>
      </c>
      <c r="M176" t="s">
        <v>166</v>
      </c>
      <c r="N176" t="s">
        <v>52</v>
      </c>
      <c r="O176" t="s">
        <v>53</v>
      </c>
      <c r="P176" t="s">
        <v>29</v>
      </c>
      <c r="Q176" t="s">
        <v>115</v>
      </c>
      <c r="R176" t="s">
        <v>116</v>
      </c>
      <c r="S176" t="s">
        <v>31</v>
      </c>
      <c r="T176" t="s">
        <v>31</v>
      </c>
      <c r="U176" t="s">
        <v>30</v>
      </c>
      <c r="V176" t="s">
        <v>31</v>
      </c>
    </row>
    <row r="177" spans="1:22" ht="12.75">
      <c r="A177">
        <v>2018</v>
      </c>
      <c r="B177" t="s">
        <v>169</v>
      </c>
      <c r="C177" t="s">
        <v>23</v>
      </c>
      <c r="D177">
        <f>HYPERLINK("https://www.amazon.com/exec/obidos/ASIN/B07L25B814","Chromebook 514")</f>
        <v>0</v>
      </c>
      <c r="E177" t="s">
        <v>33</v>
      </c>
      <c r="F177" t="s">
        <v>34</v>
      </c>
      <c r="G177" t="s">
        <v>174</v>
      </c>
      <c r="H177" t="s">
        <v>51</v>
      </c>
      <c r="I177">
        <v>2</v>
      </c>
      <c r="J177">
        <v>1144</v>
      </c>
      <c r="K177">
        <v>2900</v>
      </c>
      <c r="L177">
        <v>1650</v>
      </c>
      <c r="M177" t="s">
        <v>166</v>
      </c>
      <c r="N177" t="s">
        <v>52</v>
      </c>
      <c r="O177" t="s">
        <v>53</v>
      </c>
      <c r="P177" t="s">
        <v>29</v>
      </c>
      <c r="Q177" t="s">
        <v>115</v>
      </c>
      <c r="R177" t="s">
        <v>116</v>
      </c>
      <c r="S177" t="s">
        <v>30</v>
      </c>
      <c r="T177" t="s">
        <v>31</v>
      </c>
      <c r="U177" t="s">
        <v>30</v>
      </c>
      <c r="V177" t="s">
        <v>31</v>
      </c>
    </row>
    <row r="178" spans="1:22" ht="12.75">
      <c r="A178">
        <v>2018</v>
      </c>
      <c r="B178" t="s">
        <v>169</v>
      </c>
      <c r="C178" t="s">
        <v>23</v>
      </c>
      <c r="D178">
        <f>HYPERLINK("https://www.amazon.ca/exec/obidos/ASIN/B07N3D832Y","Chromebook 514")</f>
        <v>0</v>
      </c>
      <c r="E178" t="s">
        <v>33</v>
      </c>
      <c r="F178" t="s">
        <v>34</v>
      </c>
      <c r="G178" t="s">
        <v>252</v>
      </c>
      <c r="H178" t="s">
        <v>51</v>
      </c>
      <c r="I178">
        <v>4</v>
      </c>
      <c r="J178">
        <v>1822</v>
      </c>
      <c r="K178">
        <v>4900</v>
      </c>
      <c r="L178">
        <v>1600</v>
      </c>
      <c r="M178" t="s">
        <v>171</v>
      </c>
      <c r="N178" t="s">
        <v>52</v>
      </c>
      <c r="O178" t="s">
        <v>53</v>
      </c>
      <c r="P178" t="s">
        <v>29</v>
      </c>
      <c r="Q178" t="s">
        <v>115</v>
      </c>
      <c r="R178" t="s">
        <v>116</v>
      </c>
      <c r="S178" t="s">
        <v>30</v>
      </c>
      <c r="T178" t="s">
        <v>31</v>
      </c>
      <c r="U178" t="s">
        <v>30</v>
      </c>
      <c r="V178" t="s">
        <v>31</v>
      </c>
    </row>
    <row r="179" spans="1:22" ht="12.75">
      <c r="A179">
        <v>2018</v>
      </c>
      <c r="B179" t="s">
        <v>169</v>
      </c>
      <c r="C179" t="s">
        <v>23</v>
      </c>
      <c r="D179">
        <f>HYPERLINK("https://www.amazon.com/exec/obidos/ASIN/B07L24TWSG","Chromebook 514")</f>
        <v>0</v>
      </c>
      <c r="E179" t="s">
        <v>33</v>
      </c>
      <c r="F179" t="s">
        <v>34</v>
      </c>
      <c r="G179" t="s">
        <v>252</v>
      </c>
      <c r="H179" t="s">
        <v>51</v>
      </c>
      <c r="I179">
        <v>4</v>
      </c>
      <c r="J179">
        <v>1822</v>
      </c>
      <c r="K179">
        <v>4900</v>
      </c>
      <c r="L179">
        <v>1600</v>
      </c>
      <c r="M179" t="s">
        <v>171</v>
      </c>
      <c r="N179" t="s">
        <v>52</v>
      </c>
      <c r="O179" t="s">
        <v>109</v>
      </c>
      <c r="P179" t="s">
        <v>29</v>
      </c>
      <c r="Q179" t="s">
        <v>115</v>
      </c>
      <c r="R179" t="s">
        <v>116</v>
      </c>
      <c r="S179" t="s">
        <v>30</v>
      </c>
      <c r="T179" t="s">
        <v>30</v>
      </c>
      <c r="U179" t="s">
        <v>30</v>
      </c>
      <c r="V179" t="s">
        <v>31</v>
      </c>
    </row>
    <row r="180" spans="1:22" ht="12.75">
      <c r="A180">
        <v>2018</v>
      </c>
      <c r="B180" t="s">
        <v>169</v>
      </c>
      <c r="C180" t="s">
        <v>23</v>
      </c>
      <c r="D180">
        <f>HYPERLINK("https://www.amazon.com/exec/obidos/ASIN/B07M6LP1MF","Chromebook 514")</f>
        <v>0</v>
      </c>
      <c r="E180" t="s">
        <v>33</v>
      </c>
      <c r="F180" t="s">
        <v>34</v>
      </c>
      <c r="G180" t="s">
        <v>256</v>
      </c>
      <c r="H180" t="s">
        <v>51</v>
      </c>
      <c r="I180">
        <v>4</v>
      </c>
      <c r="J180">
        <v>2033</v>
      </c>
      <c r="K180">
        <v>5300</v>
      </c>
      <c r="L180">
        <v>1750</v>
      </c>
      <c r="M180" t="s">
        <v>131</v>
      </c>
      <c r="N180" t="s">
        <v>98</v>
      </c>
      <c r="O180" t="s">
        <v>109</v>
      </c>
      <c r="P180" t="s">
        <v>29</v>
      </c>
      <c r="Q180" t="s">
        <v>115</v>
      </c>
      <c r="R180" t="s">
        <v>116</v>
      </c>
      <c r="S180" t="s">
        <v>30</v>
      </c>
      <c r="T180" t="s">
        <v>30</v>
      </c>
      <c r="U180" t="s">
        <v>30</v>
      </c>
      <c r="V180" t="s">
        <v>31</v>
      </c>
    </row>
    <row r="181" spans="1:22" ht="12.75">
      <c r="A181">
        <v>2018</v>
      </c>
      <c r="B181" t="s">
        <v>121</v>
      </c>
      <c r="C181" t="s">
        <v>23</v>
      </c>
      <c r="D181">
        <f>HYPERLINK("https://www.amazon.com/exec/obidos/ASIN/B07C715KLH","Chromebook Spin 11 (2018; CP311-1H/1HN)")</f>
        <v>0</v>
      </c>
      <c r="E181" t="s">
        <v>48</v>
      </c>
      <c r="F181" t="s">
        <v>49</v>
      </c>
      <c r="G181" t="s">
        <v>174</v>
      </c>
      <c r="H181" t="s">
        <v>51</v>
      </c>
      <c r="I181">
        <v>2</v>
      </c>
      <c r="J181">
        <v>1144</v>
      </c>
      <c r="K181">
        <v>2900</v>
      </c>
      <c r="L181">
        <v>1650</v>
      </c>
      <c r="M181" t="s">
        <v>166</v>
      </c>
      <c r="N181" t="s">
        <v>52</v>
      </c>
      <c r="O181" t="s">
        <v>53</v>
      </c>
      <c r="P181" t="s">
        <v>74</v>
      </c>
      <c r="Q181" t="s">
        <v>119</v>
      </c>
      <c r="R181" t="s">
        <v>120</v>
      </c>
      <c r="S181" t="s">
        <v>30</v>
      </c>
      <c r="T181" t="s">
        <v>30</v>
      </c>
      <c r="U181" t="s">
        <v>30</v>
      </c>
      <c r="V181" t="s">
        <v>30</v>
      </c>
    </row>
    <row r="182" spans="1:22" ht="12.75">
      <c r="A182">
        <v>2018</v>
      </c>
      <c r="B182" t="s">
        <v>121</v>
      </c>
      <c r="C182" t="s">
        <v>23</v>
      </c>
      <c r="D182">
        <f>HYPERLINK("https://www.amazon.co.uk/exec/obidos/ASIN/B07FB9W7TY","Chromebook Spin 11 (2018; CP311-1H/1HN)")</f>
        <v>0</v>
      </c>
      <c r="E182" t="s">
        <v>48</v>
      </c>
      <c r="F182" t="s">
        <v>49</v>
      </c>
      <c r="G182" t="s">
        <v>252</v>
      </c>
      <c r="H182" t="s">
        <v>51</v>
      </c>
      <c r="I182">
        <v>4</v>
      </c>
      <c r="J182">
        <v>1822</v>
      </c>
      <c r="K182">
        <v>4900</v>
      </c>
      <c r="L182">
        <v>1600</v>
      </c>
      <c r="M182" t="s">
        <v>171</v>
      </c>
      <c r="N182" t="s">
        <v>52</v>
      </c>
      <c r="O182" t="s">
        <v>53</v>
      </c>
      <c r="P182" t="s">
        <v>74</v>
      </c>
      <c r="Q182" t="s">
        <v>119</v>
      </c>
      <c r="R182" t="s">
        <v>120</v>
      </c>
      <c r="S182" t="s">
        <v>30</v>
      </c>
      <c r="T182" t="s">
        <v>30</v>
      </c>
      <c r="U182" t="s">
        <v>30</v>
      </c>
      <c r="V182" t="s">
        <v>30</v>
      </c>
    </row>
    <row r="183" spans="1:22" ht="12.75">
      <c r="A183">
        <v>2018</v>
      </c>
      <c r="B183" t="s">
        <v>121</v>
      </c>
      <c r="C183" t="s">
        <v>23</v>
      </c>
      <c r="D183">
        <f>HYPERLINK("https://www.komplett.no/product/1074941/pc-nettbrett/pc-baerbar-laptop/chromebook/acer-chromebook-spin-11-cp311-116-hd#","Chromebook Spin 11 (2018; CP311-1H/1HN)")</f>
        <v>0</v>
      </c>
      <c r="E183" t="s">
        <v>48</v>
      </c>
      <c r="F183" t="s">
        <v>49</v>
      </c>
      <c r="G183" t="s">
        <v>256</v>
      </c>
      <c r="H183" t="s">
        <v>51</v>
      </c>
      <c r="I183">
        <v>4</v>
      </c>
      <c r="J183">
        <v>2033</v>
      </c>
      <c r="K183">
        <v>5300</v>
      </c>
      <c r="L183">
        <v>1750</v>
      </c>
      <c r="M183" t="s">
        <v>131</v>
      </c>
      <c r="N183" t="s">
        <v>52</v>
      </c>
      <c r="O183" t="s">
        <v>109</v>
      </c>
      <c r="P183" t="s">
        <v>74</v>
      </c>
      <c r="Q183" t="s">
        <v>229</v>
      </c>
      <c r="R183" t="s">
        <v>95</v>
      </c>
      <c r="S183" t="s">
        <v>30</v>
      </c>
      <c r="T183" t="s">
        <v>30</v>
      </c>
      <c r="U183" t="s">
        <v>30</v>
      </c>
      <c r="V183" t="s">
        <v>30</v>
      </c>
    </row>
    <row r="184" spans="1:22" ht="12.75">
      <c r="A184">
        <v>2018</v>
      </c>
      <c r="B184" t="s">
        <v>124</v>
      </c>
      <c r="C184" t="s">
        <v>23</v>
      </c>
      <c r="D184">
        <f>HYPERLINK("https://www.amazon.com/exec/obidos/ASIN/B07L5W6JN9","Chromebook Spin 13 (CP713-1WN)")</f>
        <v>0</v>
      </c>
      <c r="E184" t="s">
        <v>104</v>
      </c>
      <c r="F184" t="s">
        <v>105</v>
      </c>
      <c r="G184" t="s">
        <v>141</v>
      </c>
      <c r="H184" t="s">
        <v>142</v>
      </c>
      <c r="I184">
        <v>2</v>
      </c>
      <c r="J184">
        <v>5326</v>
      </c>
      <c r="K184">
        <v>9200</v>
      </c>
      <c r="L184">
        <v>4550</v>
      </c>
      <c r="M184">
        <v>33500</v>
      </c>
      <c r="N184" t="s">
        <v>27</v>
      </c>
      <c r="O184" t="s">
        <v>89</v>
      </c>
      <c r="P184" t="s">
        <v>74</v>
      </c>
      <c r="Q184" t="s">
        <v>115</v>
      </c>
      <c r="R184" t="s">
        <v>116</v>
      </c>
      <c r="S184" t="s">
        <v>30</v>
      </c>
      <c r="T184" t="s">
        <v>30</v>
      </c>
      <c r="U184" t="s">
        <v>30</v>
      </c>
      <c r="V184" t="s">
        <v>30</v>
      </c>
    </row>
    <row r="185" spans="1:22" ht="12.75">
      <c r="A185">
        <v>2018</v>
      </c>
      <c r="B185" t="s">
        <v>124</v>
      </c>
      <c r="C185" t="s">
        <v>23</v>
      </c>
      <c r="D185">
        <f>HYPERLINK("https://www.amazon.com/exec/obidos/ASIN/B07GD4CMDH","Chromebook Spin 13 (CP713-1WN)")</f>
        <v>0</v>
      </c>
      <c r="E185" t="s">
        <v>104</v>
      </c>
      <c r="F185" t="s">
        <v>105</v>
      </c>
      <c r="G185" t="s">
        <v>144</v>
      </c>
      <c r="H185" t="s">
        <v>43</v>
      </c>
      <c r="I185">
        <v>4</v>
      </c>
      <c r="J185">
        <v>7658</v>
      </c>
      <c r="K185">
        <v>15500</v>
      </c>
      <c r="L185">
        <v>4600</v>
      </c>
      <c r="M185">
        <v>36400</v>
      </c>
      <c r="N185" t="s">
        <v>38</v>
      </c>
      <c r="O185" t="s">
        <v>89</v>
      </c>
      <c r="P185" t="s">
        <v>74</v>
      </c>
      <c r="Q185" t="s">
        <v>115</v>
      </c>
      <c r="R185" t="s">
        <v>116</v>
      </c>
      <c r="S185" t="s">
        <v>30</v>
      </c>
      <c r="T185" t="s">
        <v>30</v>
      </c>
      <c r="U185" t="s">
        <v>30</v>
      </c>
      <c r="V185" t="s">
        <v>30</v>
      </c>
    </row>
    <row r="186" spans="1:22" ht="12.75">
      <c r="A186">
        <v>2018</v>
      </c>
      <c r="B186" t="s">
        <v>169</v>
      </c>
      <c r="C186" t="s">
        <v>23</v>
      </c>
      <c r="D186">
        <f>HYPERLINK("https://www.acer.com/ac/en/US/content/professional-model/NX.EFJAA.010","Chromebook Spin 13 (CP713-1WN)")</f>
        <v>0</v>
      </c>
      <c r="E186" t="s">
        <v>104</v>
      </c>
      <c r="F186" t="s">
        <v>105</v>
      </c>
      <c r="G186" t="s">
        <v>257</v>
      </c>
      <c r="H186" t="s">
        <v>45</v>
      </c>
      <c r="I186">
        <v>4</v>
      </c>
      <c r="J186">
        <v>8321</v>
      </c>
      <c r="K186">
        <v>18000</v>
      </c>
      <c r="L186">
        <v>5450</v>
      </c>
      <c r="M186" t="s">
        <v>258</v>
      </c>
      <c r="N186" t="s">
        <v>38</v>
      </c>
      <c r="O186" t="s">
        <v>152</v>
      </c>
      <c r="P186" t="s">
        <v>74</v>
      </c>
      <c r="Q186" t="s">
        <v>115</v>
      </c>
      <c r="R186" t="s">
        <v>116</v>
      </c>
      <c r="S186" t="s">
        <v>30</v>
      </c>
      <c r="T186" t="s">
        <v>30</v>
      </c>
      <c r="U186" t="s">
        <v>30</v>
      </c>
      <c r="V186" t="s">
        <v>30</v>
      </c>
    </row>
    <row r="187" spans="1:22" ht="12.75">
      <c r="A187">
        <v>2018</v>
      </c>
      <c r="B187" t="s">
        <v>92</v>
      </c>
      <c r="C187" t="s">
        <v>23</v>
      </c>
      <c r="D187">
        <f>HYPERLINK("https://www.amazon.com/exec/obidos/ASIN/B07F65C5LY","Chromebook Spin 15 (CP315-1H)")</f>
        <v>0</v>
      </c>
      <c r="E187" t="s">
        <v>132</v>
      </c>
      <c r="F187" t="s">
        <v>34</v>
      </c>
      <c r="G187" t="s">
        <v>256</v>
      </c>
      <c r="H187" t="s">
        <v>51</v>
      </c>
      <c r="I187">
        <v>4</v>
      </c>
      <c r="J187">
        <v>2033</v>
      </c>
      <c r="K187">
        <v>5300</v>
      </c>
      <c r="L187">
        <v>1750</v>
      </c>
      <c r="M187" t="s">
        <v>131</v>
      </c>
      <c r="N187" t="s">
        <v>27</v>
      </c>
      <c r="O187" t="s">
        <v>28</v>
      </c>
      <c r="P187" t="s">
        <v>80</v>
      </c>
      <c r="Q187" t="s">
        <v>259</v>
      </c>
      <c r="R187" t="s">
        <v>260</v>
      </c>
      <c r="S187" t="s">
        <v>30</v>
      </c>
      <c r="T187" t="s">
        <v>30</v>
      </c>
      <c r="U187" t="s">
        <v>30</v>
      </c>
      <c r="V187" t="s">
        <v>31</v>
      </c>
    </row>
    <row r="188" spans="1:22" ht="12.75">
      <c r="A188">
        <v>2018</v>
      </c>
      <c r="B188" t="s">
        <v>92</v>
      </c>
      <c r="C188" t="s">
        <v>23</v>
      </c>
      <c r="D188">
        <f>HYPERLINK("https://www.elkjop.no/product/data/barbar-pc/ACNXGWGED002/acer-chromebook-spin-15-15-6-2-i-1-barbar-pc-solv","Chromebook Spin 15 (CP315-1H)")</f>
        <v>0</v>
      </c>
      <c r="E188" t="s">
        <v>132</v>
      </c>
      <c r="F188" t="s">
        <v>34</v>
      </c>
      <c r="G188" t="s">
        <v>174</v>
      </c>
      <c r="H188" t="s">
        <v>51</v>
      </c>
      <c r="I188">
        <v>2</v>
      </c>
      <c r="J188">
        <v>1144</v>
      </c>
      <c r="K188">
        <v>2900</v>
      </c>
      <c r="L188">
        <v>1650</v>
      </c>
      <c r="M188" t="s">
        <v>166</v>
      </c>
      <c r="N188" t="s">
        <v>27</v>
      </c>
      <c r="O188" t="s">
        <v>109</v>
      </c>
      <c r="P188" t="s">
        <v>173</v>
      </c>
      <c r="Q188" t="s">
        <v>259</v>
      </c>
      <c r="R188" t="s">
        <v>260</v>
      </c>
      <c r="S188" t="s">
        <v>30</v>
      </c>
      <c r="T188" t="s">
        <v>30</v>
      </c>
      <c r="U188" t="s">
        <v>30</v>
      </c>
      <c r="V188" t="s">
        <v>31</v>
      </c>
    </row>
    <row r="189" spans="1:22" ht="12.75">
      <c r="A189">
        <v>2018</v>
      </c>
      <c r="B189" t="s">
        <v>92</v>
      </c>
      <c r="C189" t="s">
        <v>23</v>
      </c>
      <c r="D189">
        <f>HYPERLINK("https://www.elkjop.no/product/data/barbar-pc/ACNXGWGED004/acer-chromebook-spin-15-15-6-2-i-1-barbar-pc-solv","Chromebook Spin 15 (CP315-1H)")</f>
        <v>0</v>
      </c>
      <c r="E189" t="s">
        <v>132</v>
      </c>
      <c r="F189" t="s">
        <v>34</v>
      </c>
      <c r="G189" t="s">
        <v>252</v>
      </c>
      <c r="H189" t="s">
        <v>51</v>
      </c>
      <c r="I189">
        <v>4</v>
      </c>
      <c r="J189">
        <v>1822</v>
      </c>
      <c r="K189">
        <v>4900</v>
      </c>
      <c r="L189">
        <v>1600</v>
      </c>
      <c r="M189" t="s">
        <v>171</v>
      </c>
      <c r="N189" t="s">
        <v>98</v>
      </c>
      <c r="O189" t="s">
        <v>109</v>
      </c>
      <c r="P189" t="s">
        <v>173</v>
      </c>
      <c r="Q189" t="s">
        <v>259</v>
      </c>
      <c r="R189" t="s">
        <v>260</v>
      </c>
      <c r="S189" t="s">
        <v>30</v>
      </c>
      <c r="T189" t="s">
        <v>30</v>
      </c>
      <c r="U189" t="s">
        <v>30</v>
      </c>
      <c r="V189" t="s">
        <v>31</v>
      </c>
    </row>
    <row r="190" spans="1:22" ht="12.75">
      <c r="A190">
        <v>2018</v>
      </c>
      <c r="B190" t="s">
        <v>121</v>
      </c>
      <c r="C190" t="s">
        <v>23</v>
      </c>
      <c r="D190">
        <f>HYPERLINK("https://www.amazon.com/exec/obidos/ASIN/B07CY2SG9J","Chromebook Tab 10 (tablet)")</f>
        <v>0</v>
      </c>
      <c r="E190" t="s">
        <v>163</v>
      </c>
      <c r="F190" t="s">
        <v>164</v>
      </c>
      <c r="G190" t="s">
        <v>261</v>
      </c>
      <c r="H190" t="s">
        <v>43</v>
      </c>
      <c r="I190">
        <v>6</v>
      </c>
      <c r="J190" t="s">
        <v>26</v>
      </c>
      <c r="K190">
        <v>3900</v>
      </c>
      <c r="L190">
        <v>1600</v>
      </c>
      <c r="M190">
        <v>9700</v>
      </c>
      <c r="N190" t="s">
        <v>52</v>
      </c>
      <c r="O190" t="s">
        <v>53</v>
      </c>
      <c r="P190" t="s">
        <v>100</v>
      </c>
      <c r="Q190" t="s">
        <v>188</v>
      </c>
      <c r="R190" t="s">
        <v>262</v>
      </c>
      <c r="S190" t="s">
        <v>30</v>
      </c>
      <c r="T190" t="s">
        <v>30</v>
      </c>
      <c r="U190" t="s">
        <v>30</v>
      </c>
      <c r="V190" t="s">
        <v>30</v>
      </c>
    </row>
    <row r="191" spans="1:22" ht="12.75">
      <c r="A191">
        <v>2018</v>
      </c>
      <c r="B191" t="s">
        <v>136</v>
      </c>
      <c r="C191" t="s">
        <v>32</v>
      </c>
      <c r="D191">
        <f>HYPERLINK("https://www.amazon.com/exec/obidos/ASIN/B07H5B75SY","C223")</f>
        <v>0</v>
      </c>
      <c r="E191" t="s">
        <v>48</v>
      </c>
      <c r="F191" t="s">
        <v>49</v>
      </c>
      <c r="G191" t="s">
        <v>174</v>
      </c>
      <c r="H191" t="s">
        <v>51</v>
      </c>
      <c r="I191">
        <v>2</v>
      </c>
      <c r="J191">
        <v>1144</v>
      </c>
      <c r="K191">
        <v>2900</v>
      </c>
      <c r="L191">
        <v>1650</v>
      </c>
      <c r="M191" t="s">
        <v>166</v>
      </c>
      <c r="N191" t="s">
        <v>52</v>
      </c>
      <c r="O191" t="s">
        <v>53</v>
      </c>
      <c r="P191" t="s">
        <v>74</v>
      </c>
      <c r="Q191" t="s">
        <v>263</v>
      </c>
      <c r="R191" t="s">
        <v>264</v>
      </c>
      <c r="S191" t="s">
        <v>31</v>
      </c>
      <c r="T191" t="s">
        <v>31</v>
      </c>
      <c r="U191" t="s">
        <v>30</v>
      </c>
      <c r="V191" t="s">
        <v>31</v>
      </c>
    </row>
    <row r="192" spans="1:22" ht="12.75">
      <c r="A192">
        <v>2018</v>
      </c>
      <c r="B192" t="s">
        <v>112</v>
      </c>
      <c r="C192" t="s">
        <v>32</v>
      </c>
      <c r="D192">
        <f>HYPERLINK("https://www.amazon.com/exec/obidos/ASIN/B07HRZM2V4","C423")</f>
        <v>0</v>
      </c>
      <c r="E192" t="s">
        <v>33</v>
      </c>
      <c r="F192" t="s">
        <v>49</v>
      </c>
      <c r="G192" t="s">
        <v>174</v>
      </c>
      <c r="H192" t="s">
        <v>51</v>
      </c>
      <c r="I192">
        <v>2</v>
      </c>
      <c r="J192">
        <v>1144</v>
      </c>
      <c r="K192">
        <v>2900</v>
      </c>
      <c r="L192">
        <v>1650</v>
      </c>
      <c r="M192" t="s">
        <v>166</v>
      </c>
      <c r="N192" t="s">
        <v>52</v>
      </c>
      <c r="O192" t="s">
        <v>53</v>
      </c>
      <c r="P192" t="s">
        <v>74</v>
      </c>
      <c r="Q192" t="s">
        <v>191</v>
      </c>
      <c r="R192" t="s">
        <v>192</v>
      </c>
      <c r="S192" t="s">
        <v>31</v>
      </c>
      <c r="T192" t="s">
        <v>31</v>
      </c>
      <c r="U192" t="s">
        <v>30</v>
      </c>
      <c r="V192" t="s">
        <v>31</v>
      </c>
    </row>
    <row r="193" spans="1:22" ht="12.75">
      <c r="A193">
        <v>2018</v>
      </c>
      <c r="B193" t="s">
        <v>112</v>
      </c>
      <c r="C193" t="s">
        <v>32</v>
      </c>
      <c r="D193">
        <f>HYPERLINK("https://www.amazon.com/exec/obidos/ASIN/B07N88XJ33","C423")</f>
        <v>0</v>
      </c>
      <c r="E193" t="s">
        <v>33</v>
      </c>
      <c r="F193" t="s">
        <v>34</v>
      </c>
      <c r="G193" t="s">
        <v>174</v>
      </c>
      <c r="H193" t="s">
        <v>51</v>
      </c>
      <c r="I193">
        <v>2</v>
      </c>
      <c r="J193">
        <v>1144</v>
      </c>
      <c r="K193">
        <v>2900</v>
      </c>
      <c r="L193">
        <v>1650</v>
      </c>
      <c r="M193" t="s">
        <v>166</v>
      </c>
      <c r="N193" t="s">
        <v>52</v>
      </c>
      <c r="O193" t="s">
        <v>53</v>
      </c>
      <c r="P193" t="s">
        <v>74</v>
      </c>
      <c r="Q193" t="s">
        <v>191</v>
      </c>
      <c r="R193" t="s">
        <v>192</v>
      </c>
      <c r="S193" t="s">
        <v>31</v>
      </c>
      <c r="T193" t="s">
        <v>31</v>
      </c>
      <c r="U193" t="s">
        <v>30</v>
      </c>
      <c r="V193" t="s">
        <v>31</v>
      </c>
    </row>
    <row r="194" spans="1:22" ht="12.75">
      <c r="A194">
        <v>2018</v>
      </c>
      <c r="B194" t="s">
        <v>136</v>
      </c>
      <c r="C194" t="s">
        <v>32</v>
      </c>
      <c r="D194">
        <f>HYPERLINK("https://www.amazon.fr/exec/obidos/ASIN/B07H45183P","C423 (FR)")</f>
        <v>0</v>
      </c>
      <c r="E194" t="s">
        <v>33</v>
      </c>
      <c r="F194" t="s">
        <v>49</v>
      </c>
      <c r="G194" t="s">
        <v>256</v>
      </c>
      <c r="H194" t="s">
        <v>51</v>
      </c>
      <c r="I194">
        <v>4</v>
      </c>
      <c r="J194">
        <v>2033</v>
      </c>
      <c r="K194">
        <v>5300</v>
      </c>
      <c r="L194">
        <v>1750</v>
      </c>
      <c r="M194" t="s">
        <v>131</v>
      </c>
      <c r="N194" t="s">
        <v>27</v>
      </c>
      <c r="O194" t="s">
        <v>109</v>
      </c>
      <c r="P194" t="s">
        <v>74</v>
      </c>
      <c r="Q194" t="s">
        <v>191</v>
      </c>
      <c r="R194" t="s">
        <v>192</v>
      </c>
      <c r="S194" t="s">
        <v>31</v>
      </c>
      <c r="T194" t="s">
        <v>31</v>
      </c>
      <c r="U194" t="s">
        <v>30</v>
      </c>
      <c r="V194" t="s">
        <v>31</v>
      </c>
    </row>
    <row r="195" spans="1:22" ht="12.75">
      <c r="A195">
        <v>2018</v>
      </c>
      <c r="B195" t="s">
        <v>112</v>
      </c>
      <c r="C195" t="s">
        <v>32</v>
      </c>
      <c r="D195">
        <f>HYPERLINK("https://www.staples.ca/en/asus-c423na-rh91t-cb-14-inch-touch-screen-chromebook-1-1-ghz-intel-quad-core-pentium-n4200-32-gb-emmc-4-gb-lpddr4-chrome-os/product_2911946_1-CA_1_20001","C423 (CA)")</f>
        <v>0</v>
      </c>
      <c r="E195" t="s">
        <v>33</v>
      </c>
      <c r="F195" t="s">
        <v>49</v>
      </c>
      <c r="G195" t="s">
        <v>256</v>
      </c>
      <c r="H195" t="s">
        <v>51</v>
      </c>
      <c r="I195">
        <v>4</v>
      </c>
      <c r="J195">
        <v>2033</v>
      </c>
      <c r="K195">
        <v>5300</v>
      </c>
      <c r="L195">
        <v>1750</v>
      </c>
      <c r="M195" t="s">
        <v>131</v>
      </c>
      <c r="N195" t="s">
        <v>52</v>
      </c>
      <c r="O195" t="s">
        <v>28</v>
      </c>
      <c r="P195" t="s">
        <v>74</v>
      </c>
      <c r="Q195" t="s">
        <v>191</v>
      </c>
      <c r="R195" t="s">
        <v>192</v>
      </c>
      <c r="S195" t="s">
        <v>31</v>
      </c>
      <c r="T195" t="s">
        <v>30</v>
      </c>
      <c r="U195" t="s">
        <v>30</v>
      </c>
      <c r="V195" t="s">
        <v>31</v>
      </c>
    </row>
    <row r="196" spans="1:22" ht="12.75">
      <c r="A196">
        <v>2018</v>
      </c>
      <c r="B196" t="s">
        <v>135</v>
      </c>
      <c r="C196" t="s">
        <v>32</v>
      </c>
      <c r="D196">
        <f>HYPERLINK("https://www.amazon.co.uk/exec/obidos/ASIN/B07VF5VJ9F","C423 (UK)")</f>
        <v>0</v>
      </c>
      <c r="E196" t="s">
        <v>33</v>
      </c>
      <c r="F196" t="s">
        <v>34</v>
      </c>
      <c r="G196" t="s">
        <v>256</v>
      </c>
      <c r="H196" t="s">
        <v>51</v>
      </c>
      <c r="I196">
        <v>4</v>
      </c>
      <c r="J196">
        <v>2033</v>
      </c>
      <c r="K196">
        <v>5300</v>
      </c>
      <c r="L196">
        <v>1750</v>
      </c>
      <c r="M196" t="s">
        <v>131</v>
      </c>
      <c r="N196" t="s">
        <v>98</v>
      </c>
      <c r="O196" t="s">
        <v>109</v>
      </c>
      <c r="P196" t="s">
        <v>74</v>
      </c>
      <c r="Q196" t="s">
        <v>191</v>
      </c>
      <c r="R196" t="s">
        <v>192</v>
      </c>
      <c r="S196" t="s">
        <v>31</v>
      </c>
      <c r="T196" t="s">
        <v>30</v>
      </c>
      <c r="U196" t="s">
        <v>30</v>
      </c>
      <c r="V196" t="s">
        <v>31</v>
      </c>
    </row>
    <row r="197" spans="1:22" ht="12.75">
      <c r="A197">
        <v>2018</v>
      </c>
      <c r="B197" t="s">
        <v>112</v>
      </c>
      <c r="C197" t="s">
        <v>32</v>
      </c>
      <c r="D197">
        <f>HYPERLINK("https://www.amazon.com/exec/obidos/ASIN/B07HS2RCKG","C523")</f>
        <v>0</v>
      </c>
      <c r="E197" t="s">
        <v>132</v>
      </c>
      <c r="F197" t="s">
        <v>49</v>
      </c>
      <c r="G197" t="s">
        <v>174</v>
      </c>
      <c r="H197" t="s">
        <v>51</v>
      </c>
      <c r="I197">
        <v>2</v>
      </c>
      <c r="J197">
        <v>1144</v>
      </c>
      <c r="K197">
        <v>2900</v>
      </c>
      <c r="L197">
        <v>1650</v>
      </c>
      <c r="M197" t="s">
        <v>166</v>
      </c>
      <c r="N197" t="s">
        <v>52</v>
      </c>
      <c r="O197" t="s">
        <v>28</v>
      </c>
      <c r="P197" t="s">
        <v>74</v>
      </c>
      <c r="Q197" t="s">
        <v>191</v>
      </c>
      <c r="R197" t="s">
        <v>192</v>
      </c>
      <c r="S197" t="s">
        <v>31</v>
      </c>
      <c r="T197" t="s">
        <v>31</v>
      </c>
      <c r="U197" t="s">
        <v>30</v>
      </c>
      <c r="V197" t="s">
        <v>31</v>
      </c>
    </row>
    <row r="198" spans="1:22" ht="12.75">
      <c r="A198">
        <v>2018</v>
      </c>
      <c r="B198" t="s">
        <v>112</v>
      </c>
      <c r="C198" t="s">
        <v>32</v>
      </c>
      <c r="D198">
        <f>HYPERLINK("https://www.amazon.com/exec/obidos/ASIN/B07KY8QV1D","C523")</f>
        <v>0</v>
      </c>
      <c r="E198" t="s">
        <v>132</v>
      </c>
      <c r="F198" t="s">
        <v>34</v>
      </c>
      <c r="G198" t="s">
        <v>256</v>
      </c>
      <c r="H198" t="s">
        <v>51</v>
      </c>
      <c r="I198">
        <v>4</v>
      </c>
      <c r="J198">
        <v>2033</v>
      </c>
      <c r="K198">
        <v>5300</v>
      </c>
      <c r="L198">
        <v>1750</v>
      </c>
      <c r="M198" t="s">
        <v>131</v>
      </c>
      <c r="N198" t="s">
        <v>52</v>
      </c>
      <c r="O198" t="s">
        <v>109</v>
      </c>
      <c r="P198" t="s">
        <v>74</v>
      </c>
      <c r="Q198" t="s">
        <v>191</v>
      </c>
      <c r="R198" t="s">
        <v>192</v>
      </c>
      <c r="S198" t="s">
        <v>31</v>
      </c>
      <c r="T198" t="s">
        <v>30</v>
      </c>
      <c r="U198" t="s">
        <v>30</v>
      </c>
      <c r="V198" t="s">
        <v>31</v>
      </c>
    </row>
    <row r="199" spans="1:22" ht="12.75">
      <c r="A199">
        <v>2018</v>
      </c>
      <c r="B199" t="s">
        <v>22</v>
      </c>
      <c r="C199" t="s">
        <v>47</v>
      </c>
      <c r="D199">
        <f>HYPERLINK("https://ctl.net/collections/chromebooks/products/ctl-chromebook-j41","J41")</f>
        <v>0</v>
      </c>
      <c r="E199" t="s">
        <v>48</v>
      </c>
      <c r="F199" t="s">
        <v>49</v>
      </c>
      <c r="G199" t="s">
        <v>174</v>
      </c>
      <c r="H199" t="s">
        <v>51</v>
      </c>
      <c r="I199">
        <v>2</v>
      </c>
      <c r="J199">
        <v>1144</v>
      </c>
      <c r="K199">
        <v>2900</v>
      </c>
      <c r="L199">
        <v>1650</v>
      </c>
      <c r="M199">
        <v>10100</v>
      </c>
      <c r="N199" t="s">
        <v>52</v>
      </c>
      <c r="O199" t="s">
        <v>53</v>
      </c>
      <c r="P199" t="s">
        <v>80</v>
      </c>
      <c r="Q199" t="s">
        <v>265</v>
      </c>
      <c r="R199" t="s">
        <v>266</v>
      </c>
      <c r="S199" t="s">
        <v>31</v>
      </c>
      <c r="T199" t="s">
        <v>31</v>
      </c>
      <c r="U199" t="s">
        <v>30</v>
      </c>
      <c r="V199" t="s">
        <v>31</v>
      </c>
    </row>
    <row r="200" spans="1:22" ht="12.75">
      <c r="A200">
        <v>2018</v>
      </c>
      <c r="B200" t="s">
        <v>121</v>
      </c>
      <c r="C200" t="s">
        <v>47</v>
      </c>
      <c r="D200">
        <f>HYPERLINK("https://ctl.net/collections/chromebooks/products/ctl-chromebook-nl7-360-for-education","NL7")</f>
        <v>0</v>
      </c>
      <c r="E200" t="s">
        <v>48</v>
      </c>
      <c r="F200" t="s">
        <v>49</v>
      </c>
      <c r="G200" t="s">
        <v>174</v>
      </c>
      <c r="H200" t="s">
        <v>51</v>
      </c>
      <c r="I200">
        <v>2</v>
      </c>
      <c r="J200">
        <v>1144</v>
      </c>
      <c r="K200">
        <v>2900</v>
      </c>
      <c r="L200">
        <v>1650</v>
      </c>
      <c r="M200" t="s">
        <v>166</v>
      </c>
      <c r="N200" t="s">
        <v>52</v>
      </c>
      <c r="O200" t="s">
        <v>53</v>
      </c>
      <c r="P200" t="s">
        <v>29</v>
      </c>
      <c r="Q200" t="s">
        <v>58</v>
      </c>
      <c r="R200" t="s">
        <v>59</v>
      </c>
      <c r="S200" t="s">
        <v>30</v>
      </c>
      <c r="T200" t="s">
        <v>31</v>
      </c>
      <c r="U200" t="s">
        <v>30</v>
      </c>
      <c r="V200" t="s">
        <v>31</v>
      </c>
    </row>
    <row r="201" spans="1:22" ht="12.75">
      <c r="A201">
        <v>2018</v>
      </c>
      <c r="B201" t="s">
        <v>121</v>
      </c>
      <c r="C201" t="s">
        <v>47</v>
      </c>
      <c r="D201">
        <f>HYPERLINK("https://ctl.net/products/ctl-nl7t-chromebook-for-education-1","NL7T-360")</f>
        <v>0</v>
      </c>
      <c r="E201" t="s">
        <v>48</v>
      </c>
      <c r="F201" t="s">
        <v>49</v>
      </c>
      <c r="G201" t="s">
        <v>174</v>
      </c>
      <c r="H201" t="s">
        <v>51</v>
      </c>
      <c r="I201">
        <v>2</v>
      </c>
      <c r="J201">
        <v>1144</v>
      </c>
      <c r="K201">
        <v>2900</v>
      </c>
      <c r="L201">
        <v>1650</v>
      </c>
      <c r="M201" t="s">
        <v>166</v>
      </c>
      <c r="N201" t="s">
        <v>52</v>
      </c>
      <c r="O201" t="s">
        <v>53</v>
      </c>
      <c r="P201" t="s">
        <v>29</v>
      </c>
      <c r="Q201" t="s">
        <v>58</v>
      </c>
      <c r="R201" t="s">
        <v>59</v>
      </c>
      <c r="S201" t="s">
        <v>30</v>
      </c>
      <c r="T201" t="s">
        <v>30</v>
      </c>
      <c r="U201" t="s">
        <v>30</v>
      </c>
      <c r="V201" t="s">
        <v>31</v>
      </c>
    </row>
    <row r="202" spans="1:22" ht="12.75">
      <c r="A202">
        <v>2018</v>
      </c>
      <c r="B202" t="s">
        <v>121</v>
      </c>
      <c r="C202" t="s">
        <v>47</v>
      </c>
      <c r="D202">
        <f>HYPERLINK("https://ctl.net/collections/chromebooks/products/ctl-nl7tw-360-chromebook-for-education","NL7TW-360")</f>
        <v>0</v>
      </c>
      <c r="E202" t="s">
        <v>48</v>
      </c>
      <c r="F202" t="s">
        <v>49</v>
      </c>
      <c r="G202" t="s">
        <v>252</v>
      </c>
      <c r="H202" t="s">
        <v>51</v>
      </c>
      <c r="I202">
        <v>4</v>
      </c>
      <c r="J202">
        <v>1822</v>
      </c>
      <c r="K202">
        <v>4900</v>
      </c>
      <c r="L202">
        <v>1600</v>
      </c>
      <c r="M202" t="s">
        <v>171</v>
      </c>
      <c r="N202" t="s">
        <v>52</v>
      </c>
      <c r="O202" t="s">
        <v>53</v>
      </c>
      <c r="P202" t="s">
        <v>29</v>
      </c>
      <c r="Q202" t="s">
        <v>58</v>
      </c>
      <c r="R202" t="s">
        <v>59</v>
      </c>
      <c r="S202" t="s">
        <v>30</v>
      </c>
      <c r="T202" t="s">
        <v>30</v>
      </c>
      <c r="U202" t="s">
        <v>30</v>
      </c>
      <c r="V202" t="s">
        <v>30</v>
      </c>
    </row>
    <row r="203" spans="1:22" ht="12.75">
      <c r="A203">
        <v>2018</v>
      </c>
      <c r="B203" t="s">
        <v>112</v>
      </c>
      <c r="C203" t="s">
        <v>190</v>
      </c>
      <c r="D203">
        <f>HYPERLINK("https://www.amazon.com/exec/obidos/ASIN/B07MLHXD3J","Chromebook 11 3181")</f>
        <v>0</v>
      </c>
      <c r="E203" t="s">
        <v>48</v>
      </c>
      <c r="F203" t="s">
        <v>49</v>
      </c>
      <c r="G203" t="s">
        <v>248</v>
      </c>
      <c r="H203" t="s">
        <v>43</v>
      </c>
      <c r="I203">
        <v>2</v>
      </c>
      <c r="J203">
        <v>1040</v>
      </c>
      <c r="K203">
        <v>2200</v>
      </c>
      <c r="L203">
        <v>1200</v>
      </c>
      <c r="M203" t="s">
        <v>267</v>
      </c>
      <c r="N203" t="s">
        <v>52</v>
      </c>
      <c r="O203" t="s">
        <v>73</v>
      </c>
      <c r="P203" t="s">
        <v>74</v>
      </c>
      <c r="Q203" t="s">
        <v>110</v>
      </c>
      <c r="R203" t="s">
        <v>111</v>
      </c>
      <c r="S203" t="s">
        <v>31</v>
      </c>
      <c r="T203" t="s">
        <v>31</v>
      </c>
      <c r="U203" t="s">
        <v>30</v>
      </c>
      <c r="V203" t="s">
        <v>31</v>
      </c>
    </row>
    <row r="204" spans="1:22" ht="12.75">
      <c r="A204">
        <v>2018</v>
      </c>
      <c r="B204" t="s">
        <v>112</v>
      </c>
      <c r="C204" t="s">
        <v>190</v>
      </c>
      <c r="D204">
        <f>HYPERLINK("https://www.amazon.com/exec/obidos/ASIN/B07QKGTJGS","Chromebook 11 3181 (2-in-1)")</f>
        <v>0</v>
      </c>
      <c r="E204" t="s">
        <v>48</v>
      </c>
      <c r="F204" t="s">
        <v>49</v>
      </c>
      <c r="G204" t="s">
        <v>248</v>
      </c>
      <c r="H204" t="s">
        <v>43</v>
      </c>
      <c r="I204">
        <v>2</v>
      </c>
      <c r="J204">
        <v>1040</v>
      </c>
      <c r="K204">
        <v>2200</v>
      </c>
      <c r="L204">
        <v>1200</v>
      </c>
      <c r="M204">
        <v>8650</v>
      </c>
      <c r="N204" t="s">
        <v>52</v>
      </c>
      <c r="O204" t="s">
        <v>28</v>
      </c>
      <c r="P204" t="s">
        <v>74</v>
      </c>
      <c r="Q204" t="s">
        <v>268</v>
      </c>
      <c r="R204" t="s">
        <v>269</v>
      </c>
      <c r="S204" t="s">
        <v>30</v>
      </c>
      <c r="T204" t="s">
        <v>30</v>
      </c>
      <c r="U204" t="s">
        <v>30</v>
      </c>
      <c r="V204" t="s">
        <v>31</v>
      </c>
    </row>
    <row r="205" spans="1:22" ht="12.75">
      <c r="A205">
        <v>2018</v>
      </c>
      <c r="B205" t="s">
        <v>124</v>
      </c>
      <c r="C205" t="s">
        <v>190</v>
      </c>
      <c r="D205">
        <f>HYPERLINK("https://www.amazon.com/exec/obidos/ASIN/B07LDF5YX3","Chromebook 14 7486")</f>
        <v>0</v>
      </c>
      <c r="E205" t="s">
        <v>33</v>
      </c>
      <c r="F205" t="s">
        <v>34</v>
      </c>
      <c r="G205" t="s">
        <v>141</v>
      </c>
      <c r="H205" t="s">
        <v>142</v>
      </c>
      <c r="I205">
        <v>2</v>
      </c>
      <c r="J205">
        <v>5326</v>
      </c>
      <c r="K205">
        <v>9200</v>
      </c>
      <c r="L205">
        <v>4550</v>
      </c>
      <c r="M205">
        <v>34000</v>
      </c>
      <c r="N205" t="s">
        <v>52</v>
      </c>
      <c r="O205" t="s">
        <v>152</v>
      </c>
      <c r="P205" t="s">
        <v>74</v>
      </c>
      <c r="Q205" t="s">
        <v>218</v>
      </c>
      <c r="R205" t="s">
        <v>219</v>
      </c>
      <c r="S205" t="s">
        <v>30</v>
      </c>
      <c r="T205" t="s">
        <v>30</v>
      </c>
      <c r="U205" t="s">
        <v>30</v>
      </c>
      <c r="V205" t="s">
        <v>30</v>
      </c>
    </row>
    <row r="206" spans="1:22" ht="12.75">
      <c r="A206">
        <v>2018</v>
      </c>
      <c r="B206" t="s">
        <v>22</v>
      </c>
      <c r="C206" t="s">
        <v>190</v>
      </c>
      <c r="D206">
        <f>HYPERLINK("https://www.amazon.com/exec/obidos/ASIN/B07B31W8DV","Chromebook 5190 edu")</f>
        <v>0</v>
      </c>
      <c r="E206" t="s">
        <v>48</v>
      </c>
      <c r="F206" t="s">
        <v>49</v>
      </c>
      <c r="G206" t="s">
        <v>174</v>
      </c>
      <c r="H206" t="s">
        <v>51</v>
      </c>
      <c r="I206">
        <v>2</v>
      </c>
      <c r="J206">
        <v>1144</v>
      </c>
      <c r="K206">
        <v>2900</v>
      </c>
      <c r="L206">
        <v>1650</v>
      </c>
      <c r="M206">
        <v>10600</v>
      </c>
      <c r="N206" t="s">
        <v>52</v>
      </c>
      <c r="O206" t="s">
        <v>66</v>
      </c>
      <c r="P206" t="s">
        <v>74</v>
      </c>
      <c r="Q206" t="s">
        <v>270</v>
      </c>
      <c r="R206" t="s">
        <v>271</v>
      </c>
      <c r="S206" t="s">
        <v>31</v>
      </c>
      <c r="T206" t="s">
        <v>31</v>
      </c>
      <c r="U206" t="s">
        <v>30</v>
      </c>
      <c r="V206" t="s">
        <v>31</v>
      </c>
    </row>
    <row r="207" spans="1:22" ht="12.75">
      <c r="A207">
        <v>2018</v>
      </c>
      <c r="B207" t="s">
        <v>22</v>
      </c>
      <c r="C207" t="s">
        <v>190</v>
      </c>
      <c r="D207">
        <f>HYPERLINK("https://www.dell.com/en-us/work/shop/chromebook-11/new-5190/spd/chromebook-11-5190-laptop","Chromebook 5190 edu")</f>
        <v>0</v>
      </c>
      <c r="E207" t="s">
        <v>48</v>
      </c>
      <c r="F207" t="s">
        <v>49</v>
      </c>
      <c r="G207" t="s">
        <v>252</v>
      </c>
      <c r="H207" t="s">
        <v>51</v>
      </c>
      <c r="I207">
        <v>4</v>
      </c>
      <c r="J207">
        <v>1822</v>
      </c>
      <c r="K207">
        <v>4900</v>
      </c>
      <c r="L207">
        <v>1600</v>
      </c>
      <c r="M207" t="s">
        <v>171</v>
      </c>
      <c r="N207" t="s">
        <v>52</v>
      </c>
      <c r="O207" t="s">
        <v>28</v>
      </c>
      <c r="P207" t="s">
        <v>74</v>
      </c>
      <c r="Q207" t="s">
        <v>270</v>
      </c>
      <c r="R207" t="s">
        <v>271</v>
      </c>
      <c r="S207" t="s">
        <v>31</v>
      </c>
      <c r="T207" t="s">
        <v>31</v>
      </c>
      <c r="U207" t="s">
        <v>30</v>
      </c>
      <c r="V207" t="s">
        <v>31</v>
      </c>
    </row>
    <row r="208" spans="1:22" ht="12.75">
      <c r="A208">
        <v>2018</v>
      </c>
      <c r="B208" t="s">
        <v>22</v>
      </c>
      <c r="C208" t="s">
        <v>190</v>
      </c>
      <c r="D208">
        <f>HYPERLINK("https://www.amazon.com/exec/obidos/ASIN/B07B319VTK","Chromebook 5190 edu")</f>
        <v>0</v>
      </c>
      <c r="E208" t="s">
        <v>48</v>
      </c>
      <c r="F208" t="s">
        <v>49</v>
      </c>
      <c r="G208" t="s">
        <v>174</v>
      </c>
      <c r="H208" t="s">
        <v>51</v>
      </c>
      <c r="I208">
        <v>2</v>
      </c>
      <c r="J208">
        <v>1144</v>
      </c>
      <c r="K208">
        <v>2900</v>
      </c>
      <c r="L208">
        <v>1650</v>
      </c>
      <c r="M208">
        <v>10600</v>
      </c>
      <c r="N208" t="s">
        <v>52</v>
      </c>
      <c r="O208" t="s">
        <v>73</v>
      </c>
      <c r="P208" t="s">
        <v>74</v>
      </c>
      <c r="Q208" t="s">
        <v>270</v>
      </c>
      <c r="R208" t="s">
        <v>271</v>
      </c>
      <c r="S208" t="s">
        <v>31</v>
      </c>
      <c r="T208" t="s">
        <v>30</v>
      </c>
      <c r="U208" t="s">
        <v>30</v>
      </c>
      <c r="V208" t="s">
        <v>31</v>
      </c>
    </row>
    <row r="209" spans="1:22" ht="12.75">
      <c r="A209">
        <v>2018</v>
      </c>
      <c r="B209" t="s">
        <v>22</v>
      </c>
      <c r="C209" t="s">
        <v>190</v>
      </c>
      <c r="D209">
        <f>HYPERLINK("https://www.amazon.com/exec/obidos/ASIN/B07CMZ2QTK","Chromebook 5190 edu (2-in-1)")</f>
        <v>0</v>
      </c>
      <c r="E209" t="s">
        <v>48</v>
      </c>
      <c r="F209" t="s">
        <v>49</v>
      </c>
      <c r="G209" t="s">
        <v>174</v>
      </c>
      <c r="H209" t="s">
        <v>51</v>
      </c>
      <c r="I209">
        <v>2</v>
      </c>
      <c r="J209">
        <v>1144</v>
      </c>
      <c r="K209">
        <v>2900</v>
      </c>
      <c r="L209">
        <v>1650</v>
      </c>
      <c r="M209">
        <v>10600</v>
      </c>
      <c r="N209" t="s">
        <v>52</v>
      </c>
      <c r="O209" t="s">
        <v>28</v>
      </c>
      <c r="P209" t="s">
        <v>74</v>
      </c>
      <c r="Q209" t="s">
        <v>272</v>
      </c>
      <c r="R209" t="s">
        <v>111</v>
      </c>
      <c r="S209" t="s">
        <v>30</v>
      </c>
      <c r="T209" t="s">
        <v>30</v>
      </c>
      <c r="U209" t="s">
        <v>30</v>
      </c>
      <c r="V209" t="s">
        <v>30</v>
      </c>
    </row>
    <row r="210" spans="1:22" ht="12.75">
      <c r="A210">
        <v>2018</v>
      </c>
      <c r="B210" t="s">
        <v>22</v>
      </c>
      <c r="C210" t="s">
        <v>190</v>
      </c>
      <c r="D210">
        <f>HYPERLINK("https://www.dell.com/en-us/work/shop/chromebook-11/new-11-2-in-1/spd/chromebook-11-5190-2-in-1-laptop","Chromebook 5190 edu (2-in-1)")</f>
        <v>0</v>
      </c>
      <c r="E210" t="s">
        <v>48</v>
      </c>
      <c r="F210" t="s">
        <v>49</v>
      </c>
      <c r="G210" t="s">
        <v>252</v>
      </c>
      <c r="H210" t="s">
        <v>51</v>
      </c>
      <c r="I210">
        <v>4</v>
      </c>
      <c r="J210">
        <v>1822</v>
      </c>
      <c r="K210">
        <v>4900</v>
      </c>
      <c r="L210">
        <v>1600</v>
      </c>
      <c r="M210" t="s">
        <v>171</v>
      </c>
      <c r="N210" t="s">
        <v>52</v>
      </c>
      <c r="O210" t="s">
        <v>53</v>
      </c>
      <c r="P210" t="s">
        <v>74</v>
      </c>
      <c r="Q210" t="s">
        <v>272</v>
      </c>
      <c r="R210" t="s">
        <v>111</v>
      </c>
      <c r="S210" t="s">
        <v>30</v>
      </c>
      <c r="T210" t="s">
        <v>30</v>
      </c>
      <c r="U210" t="s">
        <v>30</v>
      </c>
      <c r="V210" t="s">
        <v>30</v>
      </c>
    </row>
    <row r="211" spans="1:22" ht="12.75">
      <c r="A211">
        <v>2018</v>
      </c>
      <c r="B211" t="s">
        <v>103</v>
      </c>
      <c r="C211" t="s">
        <v>206</v>
      </c>
      <c r="D211">
        <f>HYPERLINK("https://store.google.com/us/product/pixel_slate?hl=en-US","Pixel Slate (tablet; detachable)")</f>
        <v>0</v>
      </c>
      <c r="E211" t="s">
        <v>273</v>
      </c>
      <c r="F211" t="s">
        <v>274</v>
      </c>
      <c r="G211" t="s">
        <v>275</v>
      </c>
      <c r="H211" t="s">
        <v>209</v>
      </c>
      <c r="I211">
        <v>2</v>
      </c>
      <c r="J211">
        <v>1619</v>
      </c>
      <c r="K211">
        <v>3650</v>
      </c>
      <c r="L211">
        <v>2150</v>
      </c>
      <c r="M211" t="s">
        <v>114</v>
      </c>
      <c r="N211" t="s">
        <v>27</v>
      </c>
      <c r="O211" t="s">
        <v>28</v>
      </c>
      <c r="P211" t="s">
        <v>29</v>
      </c>
      <c r="Q211" t="s">
        <v>276</v>
      </c>
      <c r="R211" t="s">
        <v>277</v>
      </c>
      <c r="S211" t="s">
        <v>30</v>
      </c>
      <c r="T211" t="s">
        <v>30</v>
      </c>
      <c r="U211" t="s">
        <v>30</v>
      </c>
      <c r="V211" t="s">
        <v>30</v>
      </c>
    </row>
    <row r="212" spans="1:22" ht="12.75">
      <c r="A212">
        <v>2018</v>
      </c>
      <c r="B212" t="s">
        <v>103</v>
      </c>
      <c r="C212" t="s">
        <v>206</v>
      </c>
      <c r="D212">
        <f>HYPERLINK("https://www.amazon.com/exec/obidos/ASIN/B07JWCHWRM","Pixel Slate (tablet; detachable)")</f>
        <v>0</v>
      </c>
      <c r="E212" t="s">
        <v>273</v>
      </c>
      <c r="F212" t="s">
        <v>274</v>
      </c>
      <c r="G212" t="s">
        <v>175</v>
      </c>
      <c r="H212" t="s">
        <v>51</v>
      </c>
      <c r="I212">
        <v>2</v>
      </c>
      <c r="J212">
        <v>3461</v>
      </c>
      <c r="K212">
        <v>7200</v>
      </c>
      <c r="L212">
        <v>4000</v>
      </c>
      <c r="M212">
        <v>30000</v>
      </c>
      <c r="N212" t="s">
        <v>98</v>
      </c>
      <c r="O212" t="s">
        <v>109</v>
      </c>
      <c r="P212" t="s">
        <v>29</v>
      </c>
      <c r="Q212" t="s">
        <v>276</v>
      </c>
      <c r="R212" t="s">
        <v>277</v>
      </c>
      <c r="S212" t="s">
        <v>30</v>
      </c>
      <c r="T212" t="s">
        <v>30</v>
      </c>
      <c r="U212" t="s">
        <v>30</v>
      </c>
      <c r="V212" t="s">
        <v>30</v>
      </c>
    </row>
    <row r="213" spans="1:22" ht="12.75">
      <c r="A213">
        <v>2018</v>
      </c>
      <c r="B213" t="s">
        <v>103</v>
      </c>
      <c r="C213" t="s">
        <v>206</v>
      </c>
      <c r="D213">
        <f>HYPERLINK("https://www.amazon.com/exec/obidos/ASIN/B07JWB7QB2","Pixel Slate (tablet; detachable)")</f>
        <v>0</v>
      </c>
      <c r="E213" t="s">
        <v>273</v>
      </c>
      <c r="F213" t="s">
        <v>274</v>
      </c>
      <c r="G213" t="s">
        <v>184</v>
      </c>
      <c r="H213" t="s">
        <v>185</v>
      </c>
      <c r="I213">
        <v>2</v>
      </c>
      <c r="J213">
        <v>4206</v>
      </c>
      <c r="K213">
        <v>8150</v>
      </c>
      <c r="L213">
        <v>4500</v>
      </c>
      <c r="M213">
        <v>32000</v>
      </c>
      <c r="N213" t="s">
        <v>98</v>
      </c>
      <c r="O213" t="s">
        <v>152</v>
      </c>
      <c r="P213" t="s">
        <v>29</v>
      </c>
      <c r="Q213" t="s">
        <v>276</v>
      </c>
      <c r="R213" t="s">
        <v>277</v>
      </c>
      <c r="S213" t="s">
        <v>30</v>
      </c>
      <c r="T213" t="s">
        <v>30</v>
      </c>
      <c r="U213" t="s">
        <v>30</v>
      </c>
      <c r="V213" t="s">
        <v>30</v>
      </c>
    </row>
    <row r="214" spans="1:22" ht="12.75">
      <c r="A214">
        <v>2018</v>
      </c>
      <c r="B214" t="s">
        <v>103</v>
      </c>
      <c r="C214" t="s">
        <v>206</v>
      </c>
      <c r="D214">
        <f>HYPERLINK("https://www.amazon.com/exec/obidos/ASIN/B07JDT7778","Pixel Slate (tablet; detachable)")</f>
        <v>0</v>
      </c>
      <c r="E214" t="s">
        <v>273</v>
      </c>
      <c r="F214" t="s">
        <v>274</v>
      </c>
      <c r="G214" t="s">
        <v>208</v>
      </c>
      <c r="H214" t="s">
        <v>209</v>
      </c>
      <c r="I214">
        <v>2</v>
      </c>
      <c r="J214">
        <v>3945</v>
      </c>
      <c r="K214">
        <v>8700</v>
      </c>
      <c r="L214">
        <v>4900</v>
      </c>
      <c r="M214">
        <v>26000</v>
      </c>
      <c r="N214" t="s">
        <v>148</v>
      </c>
      <c r="O214" t="s">
        <v>99</v>
      </c>
      <c r="P214" t="s">
        <v>29</v>
      </c>
      <c r="Q214" t="s">
        <v>276</v>
      </c>
      <c r="R214" t="s">
        <v>277</v>
      </c>
      <c r="S214" t="s">
        <v>30</v>
      </c>
      <c r="T214" t="s">
        <v>30</v>
      </c>
      <c r="U214" t="s">
        <v>30</v>
      </c>
      <c r="V214" t="s">
        <v>30</v>
      </c>
    </row>
    <row r="215" spans="1:22" ht="12.75">
      <c r="A215">
        <v>2018</v>
      </c>
      <c r="B215" t="s">
        <v>46</v>
      </c>
      <c r="C215" t="s">
        <v>64</v>
      </c>
      <c r="D215">
        <f>HYPERLINK("https://www.amazon.com/exec/obidos/ASIN/B079VTXCTV","Chromebook 11 G6 EE")</f>
        <v>0</v>
      </c>
      <c r="E215" t="s">
        <v>48</v>
      </c>
      <c r="F215" t="s">
        <v>49</v>
      </c>
      <c r="G215" t="s">
        <v>174</v>
      </c>
      <c r="H215" t="s">
        <v>51</v>
      </c>
      <c r="I215">
        <v>2</v>
      </c>
      <c r="J215">
        <v>1144</v>
      </c>
      <c r="K215">
        <v>2900</v>
      </c>
      <c r="L215">
        <v>1650</v>
      </c>
      <c r="M215" t="s">
        <v>166</v>
      </c>
      <c r="N215" t="s">
        <v>52</v>
      </c>
      <c r="O215" t="s">
        <v>73</v>
      </c>
      <c r="P215" t="s">
        <v>80</v>
      </c>
      <c r="Q215" t="s">
        <v>278</v>
      </c>
      <c r="R215" t="s">
        <v>279</v>
      </c>
      <c r="S215" t="s">
        <v>31</v>
      </c>
      <c r="T215" t="s">
        <v>31</v>
      </c>
      <c r="U215" t="s">
        <v>30</v>
      </c>
      <c r="V215" t="s">
        <v>31</v>
      </c>
    </row>
    <row r="216" spans="1:22" ht="12.75">
      <c r="A216">
        <v>2018</v>
      </c>
      <c r="B216" t="s">
        <v>46</v>
      </c>
      <c r="C216" t="s">
        <v>64</v>
      </c>
      <c r="D216">
        <f>HYPERLINK("https://www.amazon.com/exec/obidos/ASIN/B079VH6T1Z","Chromebook 11 G6 EE")</f>
        <v>0</v>
      </c>
      <c r="E216" t="s">
        <v>48</v>
      </c>
      <c r="F216" t="s">
        <v>49</v>
      </c>
      <c r="G216" t="s">
        <v>174</v>
      </c>
      <c r="H216" t="s">
        <v>51</v>
      </c>
      <c r="I216">
        <v>2</v>
      </c>
      <c r="J216">
        <v>1144</v>
      </c>
      <c r="K216">
        <v>2900</v>
      </c>
      <c r="L216">
        <v>1650</v>
      </c>
      <c r="M216" t="s">
        <v>166</v>
      </c>
      <c r="N216" t="s">
        <v>52</v>
      </c>
      <c r="O216" t="s">
        <v>73</v>
      </c>
      <c r="P216" t="s">
        <v>80</v>
      </c>
      <c r="Q216" t="s">
        <v>278</v>
      </c>
      <c r="R216" t="s">
        <v>279</v>
      </c>
      <c r="S216" t="s">
        <v>30</v>
      </c>
      <c r="T216" t="s">
        <v>30</v>
      </c>
      <c r="U216" t="s">
        <v>30</v>
      </c>
      <c r="V216" t="s">
        <v>31</v>
      </c>
    </row>
    <row r="217" spans="1:22" ht="12.75">
      <c r="A217">
        <v>2018</v>
      </c>
      <c r="B217" t="s">
        <v>46</v>
      </c>
      <c r="C217" t="s">
        <v>64</v>
      </c>
      <c r="D217">
        <f>HYPERLINK("https://www.amazon.com/exec/obidos/ASIN/B079VSQYPG","Chromebook 11 G6 EE")</f>
        <v>0</v>
      </c>
      <c r="E217" t="s">
        <v>48</v>
      </c>
      <c r="F217" t="s">
        <v>49</v>
      </c>
      <c r="G217" t="s">
        <v>252</v>
      </c>
      <c r="H217" t="s">
        <v>51</v>
      </c>
      <c r="I217">
        <v>4</v>
      </c>
      <c r="J217">
        <v>1822</v>
      </c>
      <c r="K217">
        <v>4900</v>
      </c>
      <c r="L217">
        <v>1600</v>
      </c>
      <c r="M217" t="s">
        <v>171</v>
      </c>
      <c r="N217" t="s">
        <v>98</v>
      </c>
      <c r="O217" t="s">
        <v>53</v>
      </c>
      <c r="P217" t="s">
        <v>80</v>
      </c>
      <c r="Q217" t="s">
        <v>278</v>
      </c>
      <c r="R217" t="s">
        <v>279</v>
      </c>
      <c r="S217" t="s">
        <v>31</v>
      </c>
      <c r="T217" t="s">
        <v>31</v>
      </c>
      <c r="U217" t="s">
        <v>30</v>
      </c>
      <c r="V217" t="s">
        <v>31</v>
      </c>
    </row>
    <row r="218" spans="1:22" ht="12.75">
      <c r="A218">
        <v>2018</v>
      </c>
      <c r="B218" t="s">
        <v>46</v>
      </c>
      <c r="C218" t="s">
        <v>64</v>
      </c>
      <c r="D218">
        <f>HYPERLINK("https://www.amazon.com/exec/obidos/ASIN/B079VV9PMH","Chromebook 11 G6 EE")</f>
        <v>0</v>
      </c>
      <c r="E218" t="s">
        <v>48</v>
      </c>
      <c r="F218" t="s">
        <v>49</v>
      </c>
      <c r="G218" t="s">
        <v>252</v>
      </c>
      <c r="H218" t="s">
        <v>51</v>
      </c>
      <c r="I218">
        <v>4</v>
      </c>
      <c r="J218">
        <v>1822</v>
      </c>
      <c r="K218">
        <v>4900</v>
      </c>
      <c r="L218">
        <v>1600</v>
      </c>
      <c r="M218" t="s">
        <v>171</v>
      </c>
      <c r="N218" t="s">
        <v>98</v>
      </c>
      <c r="O218" t="s">
        <v>109</v>
      </c>
      <c r="P218" t="s">
        <v>80</v>
      </c>
      <c r="Q218" t="s">
        <v>278</v>
      </c>
      <c r="R218" t="s">
        <v>279</v>
      </c>
      <c r="S218" t="s">
        <v>30</v>
      </c>
      <c r="T218" t="s">
        <v>30</v>
      </c>
      <c r="U218" t="s">
        <v>30</v>
      </c>
      <c r="V218" t="s">
        <v>31</v>
      </c>
    </row>
    <row r="219" spans="1:22" ht="12.75">
      <c r="A219">
        <v>2018</v>
      </c>
      <c r="B219" t="s">
        <v>46</v>
      </c>
      <c r="C219" t="s">
        <v>64</v>
      </c>
      <c r="D219">
        <f>HYPERLINK("https://www.amazon.com/exec/obidos/ASIN/B079VM2M5F","Chromebook 14 G5")</f>
        <v>0</v>
      </c>
      <c r="E219" t="s">
        <v>33</v>
      </c>
      <c r="F219" t="s">
        <v>49</v>
      </c>
      <c r="G219" t="s">
        <v>174</v>
      </c>
      <c r="H219" t="s">
        <v>51</v>
      </c>
      <c r="I219">
        <v>2</v>
      </c>
      <c r="J219">
        <v>1144</v>
      </c>
      <c r="K219">
        <v>2900</v>
      </c>
      <c r="L219">
        <v>1650</v>
      </c>
      <c r="M219" t="s">
        <v>166</v>
      </c>
      <c r="N219" t="s">
        <v>27</v>
      </c>
      <c r="O219" t="s">
        <v>73</v>
      </c>
      <c r="P219" t="s">
        <v>74</v>
      </c>
      <c r="Q219" t="s">
        <v>77</v>
      </c>
      <c r="R219" t="s">
        <v>78</v>
      </c>
      <c r="S219" t="s">
        <v>31</v>
      </c>
      <c r="T219" t="s">
        <v>31</v>
      </c>
      <c r="U219" t="s">
        <v>30</v>
      </c>
      <c r="V219" t="s">
        <v>31</v>
      </c>
    </row>
    <row r="220" spans="1:22" ht="12.75">
      <c r="A220">
        <v>2018</v>
      </c>
      <c r="B220" t="s">
        <v>46</v>
      </c>
      <c r="C220" t="s">
        <v>64</v>
      </c>
      <c r="D220">
        <f>HYPERLINK("https://www.amazon.com/exec/obidos/ASIN/B079VPV95X","Chromebook 14 G5")</f>
        <v>0</v>
      </c>
      <c r="E220" t="s">
        <v>33</v>
      </c>
      <c r="F220" t="s">
        <v>49</v>
      </c>
      <c r="G220" t="s">
        <v>174</v>
      </c>
      <c r="H220" t="s">
        <v>51</v>
      </c>
      <c r="I220">
        <v>2</v>
      </c>
      <c r="J220">
        <v>1144</v>
      </c>
      <c r="K220">
        <v>2900</v>
      </c>
      <c r="L220">
        <v>1650</v>
      </c>
      <c r="M220" t="s">
        <v>166</v>
      </c>
      <c r="N220" t="s">
        <v>27</v>
      </c>
      <c r="O220" t="s">
        <v>73</v>
      </c>
      <c r="P220" t="s">
        <v>74</v>
      </c>
      <c r="Q220" t="s">
        <v>77</v>
      </c>
      <c r="R220" t="s">
        <v>78</v>
      </c>
      <c r="S220" t="s">
        <v>31</v>
      </c>
      <c r="T220" t="s">
        <v>30</v>
      </c>
      <c r="U220" t="s">
        <v>30</v>
      </c>
      <c r="V220" t="s">
        <v>31</v>
      </c>
    </row>
    <row r="221" spans="1:22" ht="12.75">
      <c r="A221">
        <v>2018</v>
      </c>
      <c r="B221" t="s">
        <v>46</v>
      </c>
      <c r="C221" t="s">
        <v>64</v>
      </c>
      <c r="D221">
        <f>HYPERLINK("https://www.amazon.co.uk/exec/obidos/ASIN/B07B2RPGZR","Chromebook 14 G5")</f>
        <v>0</v>
      </c>
      <c r="E221" t="s">
        <v>33</v>
      </c>
      <c r="F221" t="s">
        <v>34</v>
      </c>
      <c r="G221" t="s">
        <v>174</v>
      </c>
      <c r="H221" t="s">
        <v>51</v>
      </c>
      <c r="I221">
        <v>2</v>
      </c>
      <c r="J221">
        <v>1144</v>
      </c>
      <c r="K221">
        <v>2900</v>
      </c>
      <c r="L221">
        <v>1650</v>
      </c>
      <c r="M221" t="s">
        <v>166</v>
      </c>
      <c r="N221" t="s">
        <v>27</v>
      </c>
      <c r="O221" t="s">
        <v>53</v>
      </c>
      <c r="P221" t="s">
        <v>74</v>
      </c>
      <c r="Q221" t="s">
        <v>77</v>
      </c>
      <c r="R221" t="s">
        <v>78</v>
      </c>
      <c r="S221" t="s">
        <v>30</v>
      </c>
      <c r="T221" t="s">
        <v>31</v>
      </c>
      <c r="U221" t="s">
        <v>30</v>
      </c>
      <c r="V221" t="s">
        <v>31</v>
      </c>
    </row>
    <row r="222" spans="1:22" ht="12.75">
      <c r="A222">
        <v>2018</v>
      </c>
      <c r="B222" t="s">
        <v>46</v>
      </c>
      <c r="C222" t="s">
        <v>64</v>
      </c>
      <c r="D222">
        <f>HYPERLINK("https://www.amazon.co.uk/exec/obidos/ASIN/B07BKLWW55","Chromebook 14 G5")</f>
        <v>0</v>
      </c>
      <c r="E222" t="s">
        <v>33</v>
      </c>
      <c r="F222" t="s">
        <v>34</v>
      </c>
      <c r="G222" t="s">
        <v>174</v>
      </c>
      <c r="H222" t="s">
        <v>51</v>
      </c>
      <c r="I222">
        <v>2</v>
      </c>
      <c r="J222">
        <v>1144</v>
      </c>
      <c r="K222">
        <v>2900</v>
      </c>
      <c r="L222">
        <v>1650</v>
      </c>
      <c r="M222" t="s">
        <v>166</v>
      </c>
      <c r="N222" t="s">
        <v>52</v>
      </c>
      <c r="O222" t="s">
        <v>53</v>
      </c>
      <c r="P222" t="s">
        <v>74</v>
      </c>
      <c r="Q222" t="s">
        <v>77</v>
      </c>
      <c r="R222" t="s">
        <v>78</v>
      </c>
      <c r="S222" t="s">
        <v>30</v>
      </c>
      <c r="T222" t="s">
        <v>30</v>
      </c>
      <c r="U222" t="s">
        <v>30</v>
      </c>
      <c r="V222" t="s">
        <v>31</v>
      </c>
    </row>
    <row r="223" spans="1:22" ht="12.75">
      <c r="A223">
        <v>2018</v>
      </c>
      <c r="B223" t="s">
        <v>46</v>
      </c>
      <c r="C223" t="s">
        <v>64</v>
      </c>
      <c r="D223">
        <f>HYPERLINK("https://store.hp.com/us/en/pdp/hp-chromebook-14-g5-notebook-pc-customizable-2vn37av-mb","Chromebook 14 G5")</f>
        <v>0</v>
      </c>
      <c r="E223" t="s">
        <v>33</v>
      </c>
      <c r="F223" t="s">
        <v>34</v>
      </c>
      <c r="G223" t="s">
        <v>252</v>
      </c>
      <c r="H223" t="s">
        <v>51</v>
      </c>
      <c r="I223">
        <v>4</v>
      </c>
      <c r="J223">
        <v>1822</v>
      </c>
      <c r="K223">
        <v>4900</v>
      </c>
      <c r="L223">
        <v>1600</v>
      </c>
      <c r="M223" t="s">
        <v>171</v>
      </c>
      <c r="N223" t="s">
        <v>98</v>
      </c>
      <c r="O223" t="s">
        <v>28</v>
      </c>
      <c r="P223" t="s">
        <v>74</v>
      </c>
      <c r="Q223" t="s">
        <v>77</v>
      </c>
      <c r="R223" t="s">
        <v>78</v>
      </c>
      <c r="S223" t="s">
        <v>30</v>
      </c>
      <c r="T223" t="s">
        <v>30</v>
      </c>
      <c r="U223" t="s">
        <v>30</v>
      </c>
      <c r="V223" t="s">
        <v>31</v>
      </c>
    </row>
    <row r="224" spans="1:22" ht="12.75">
      <c r="A224">
        <v>2018</v>
      </c>
      <c r="B224" t="s">
        <v>92</v>
      </c>
      <c r="C224" t="s">
        <v>64</v>
      </c>
      <c r="D224">
        <f>HYPERLINK("https://www.amazon.com/exec/obidos/ASIN/B07D6FN5RJ","Chromebook x2 (detachable)")</f>
        <v>0</v>
      </c>
      <c r="E224" t="s">
        <v>273</v>
      </c>
      <c r="F224" t="s">
        <v>280</v>
      </c>
      <c r="G224" t="s">
        <v>281</v>
      </c>
      <c r="H224" t="s">
        <v>282</v>
      </c>
      <c r="I224">
        <v>2</v>
      </c>
      <c r="J224">
        <v>3557</v>
      </c>
      <c r="K224">
        <v>6800</v>
      </c>
      <c r="L224">
        <v>3600</v>
      </c>
      <c r="M224">
        <v>25100</v>
      </c>
      <c r="N224" t="s">
        <v>52</v>
      </c>
      <c r="O224" t="s">
        <v>53</v>
      </c>
      <c r="P224" t="s">
        <v>247</v>
      </c>
      <c r="Q224" t="s">
        <v>283</v>
      </c>
      <c r="R224" t="s">
        <v>284</v>
      </c>
      <c r="S224" t="s">
        <v>30</v>
      </c>
      <c r="T224" t="s">
        <v>30</v>
      </c>
      <c r="U224" t="s">
        <v>30</v>
      </c>
      <c r="V224" t="s">
        <v>30</v>
      </c>
    </row>
    <row r="225" spans="1:22" ht="12.75">
      <c r="A225">
        <v>2018</v>
      </c>
      <c r="B225" t="s">
        <v>112</v>
      </c>
      <c r="C225" t="s">
        <v>64</v>
      </c>
      <c r="D225">
        <f>HYPERLINK("http://origin.www8.hp.com/uk/en/products/laptops/product-detail.html?oid=23476329#!tab=features","Chromebook x2 (detachable; UK)")</f>
        <v>0</v>
      </c>
      <c r="E225" t="s">
        <v>273</v>
      </c>
      <c r="F225" t="s">
        <v>280</v>
      </c>
      <c r="G225" t="s">
        <v>281</v>
      </c>
      <c r="H225" t="s">
        <v>282</v>
      </c>
      <c r="I225">
        <v>2</v>
      </c>
      <c r="J225">
        <v>3557</v>
      </c>
      <c r="K225">
        <v>6800</v>
      </c>
      <c r="L225">
        <v>3600</v>
      </c>
      <c r="M225">
        <v>25100</v>
      </c>
      <c r="N225" t="s">
        <v>98</v>
      </c>
      <c r="O225" t="s">
        <v>109</v>
      </c>
      <c r="P225" t="s">
        <v>127</v>
      </c>
      <c r="Q225" t="s">
        <v>268</v>
      </c>
      <c r="R225" t="s">
        <v>269</v>
      </c>
      <c r="S225" t="s">
        <v>30</v>
      </c>
      <c r="T225" t="s">
        <v>30</v>
      </c>
      <c r="U225" t="s">
        <v>30</v>
      </c>
      <c r="V225" t="s">
        <v>30</v>
      </c>
    </row>
    <row r="226" spans="1:22" ht="12.75">
      <c r="A226">
        <v>2018</v>
      </c>
      <c r="B226" t="s">
        <v>103</v>
      </c>
      <c r="C226" t="s">
        <v>64</v>
      </c>
      <c r="D226">
        <f>HYPERLINK("https://www.fnac.com/Chromebook-HP-x2-12-f004nf-12-3-Tactile/a12791723/w-4","Chromebook x2 (detachable; France)")</f>
        <v>0</v>
      </c>
      <c r="E226" t="s">
        <v>273</v>
      </c>
      <c r="F226" t="s">
        <v>280</v>
      </c>
      <c r="G226" t="s">
        <v>285</v>
      </c>
      <c r="H226" t="s">
        <v>286</v>
      </c>
      <c r="I226">
        <v>2</v>
      </c>
      <c r="J226">
        <v>3584</v>
      </c>
      <c r="K226">
        <v>7600</v>
      </c>
      <c r="L226">
        <v>4200</v>
      </c>
      <c r="M226" t="s">
        <v>176</v>
      </c>
      <c r="N226" t="s">
        <v>98</v>
      </c>
      <c r="O226" t="s">
        <v>109</v>
      </c>
      <c r="P226" t="s">
        <v>127</v>
      </c>
      <c r="Q226" t="s">
        <v>268</v>
      </c>
      <c r="R226" t="s">
        <v>269</v>
      </c>
      <c r="S226" t="s">
        <v>30</v>
      </c>
      <c r="T226" t="s">
        <v>30</v>
      </c>
      <c r="U226" t="s">
        <v>30</v>
      </c>
      <c r="V226" t="s">
        <v>30</v>
      </c>
    </row>
    <row r="227" spans="1:22" ht="12.75">
      <c r="A227">
        <v>2018</v>
      </c>
      <c r="B227" t="s">
        <v>124</v>
      </c>
      <c r="C227" t="s">
        <v>64</v>
      </c>
      <c r="D227">
        <f>HYPERLINK("https://www.amazon.com/exec/obidos/ASIN/B08121BNBS","Chromebook x360 14")</f>
        <v>0</v>
      </c>
      <c r="E227" t="s">
        <v>33</v>
      </c>
      <c r="F227" t="s">
        <v>34</v>
      </c>
      <c r="G227" t="s">
        <v>141</v>
      </c>
      <c r="H227" t="s">
        <v>142</v>
      </c>
      <c r="I227">
        <v>2</v>
      </c>
      <c r="J227">
        <v>5326</v>
      </c>
      <c r="K227">
        <v>9200</v>
      </c>
      <c r="L227">
        <v>4550</v>
      </c>
      <c r="M227">
        <v>34400</v>
      </c>
      <c r="N227" t="s">
        <v>98</v>
      </c>
      <c r="O227" t="s">
        <v>109</v>
      </c>
      <c r="P227" t="s">
        <v>67</v>
      </c>
      <c r="Q227" t="s">
        <v>230</v>
      </c>
      <c r="R227" t="s">
        <v>231</v>
      </c>
      <c r="S227" t="s">
        <v>30</v>
      </c>
      <c r="T227" t="s">
        <v>30</v>
      </c>
      <c r="U227" t="s">
        <v>30</v>
      </c>
      <c r="V227" t="s">
        <v>31</v>
      </c>
    </row>
    <row r="228" spans="1:22" ht="12.75">
      <c r="A228">
        <v>2018</v>
      </c>
      <c r="B228" t="s">
        <v>46</v>
      </c>
      <c r="C228" t="s">
        <v>84</v>
      </c>
      <c r="D228">
        <f>HYPERLINK("https://www.amazon.com/exec/obidos/ASIN/B07B5ZDNJJ","100e Chromebook")</f>
        <v>0</v>
      </c>
      <c r="E228" t="s">
        <v>48</v>
      </c>
      <c r="F228" t="s">
        <v>49</v>
      </c>
      <c r="G228" t="s">
        <v>174</v>
      </c>
      <c r="H228" t="s">
        <v>51</v>
      </c>
      <c r="I228">
        <v>2</v>
      </c>
      <c r="J228">
        <v>1144</v>
      </c>
      <c r="K228">
        <v>2900</v>
      </c>
      <c r="L228">
        <v>1650</v>
      </c>
      <c r="M228" t="s">
        <v>166</v>
      </c>
      <c r="N228" t="s">
        <v>52</v>
      </c>
      <c r="O228" t="s">
        <v>53</v>
      </c>
      <c r="P228" t="s">
        <v>74</v>
      </c>
      <c r="Q228" t="s">
        <v>287</v>
      </c>
      <c r="R228" t="s">
        <v>120</v>
      </c>
      <c r="S228" t="s">
        <v>31</v>
      </c>
      <c r="T228" t="s">
        <v>31</v>
      </c>
      <c r="U228" t="s">
        <v>30</v>
      </c>
      <c r="V228" t="s">
        <v>31</v>
      </c>
    </row>
    <row r="229" spans="1:22" ht="12.75">
      <c r="A229">
        <v>2018</v>
      </c>
      <c r="B229" t="s">
        <v>46</v>
      </c>
      <c r="C229" t="s">
        <v>84</v>
      </c>
      <c r="D229">
        <f>HYPERLINK("https://www.amazon.com/exec/obidos/ASIN/B07JMF87Z8","300e Chromebook")</f>
        <v>0</v>
      </c>
      <c r="E229" t="s">
        <v>48</v>
      </c>
      <c r="F229" t="s">
        <v>49</v>
      </c>
      <c r="G229" t="s">
        <v>170</v>
      </c>
      <c r="H229" t="s">
        <v>36</v>
      </c>
      <c r="I229">
        <v>4</v>
      </c>
      <c r="J229" t="s">
        <v>26</v>
      </c>
      <c r="K229">
        <v>2950</v>
      </c>
      <c r="L229">
        <v>1450</v>
      </c>
      <c r="M229" t="s">
        <v>171</v>
      </c>
      <c r="N229" t="s">
        <v>52</v>
      </c>
      <c r="O229" t="s">
        <v>53</v>
      </c>
      <c r="P229" t="s">
        <v>74</v>
      </c>
      <c r="Q229" t="s">
        <v>229</v>
      </c>
      <c r="R229" t="s">
        <v>95</v>
      </c>
      <c r="S229" t="s">
        <v>30</v>
      </c>
      <c r="T229" t="s">
        <v>30</v>
      </c>
      <c r="U229" t="s">
        <v>30</v>
      </c>
      <c r="V229" t="s">
        <v>31</v>
      </c>
    </row>
    <row r="230" spans="1:22" ht="12.75">
      <c r="A230">
        <v>2018</v>
      </c>
      <c r="B230" t="s">
        <v>46</v>
      </c>
      <c r="C230" t="s">
        <v>84</v>
      </c>
      <c r="D230">
        <f>HYPERLINK("https://www.amazon.com/exec/obidos/ASIN/B079LDLCNT","500e Chromebook")</f>
        <v>0</v>
      </c>
      <c r="E230" t="s">
        <v>48</v>
      </c>
      <c r="F230" t="s">
        <v>49</v>
      </c>
      <c r="G230" t="s">
        <v>252</v>
      </c>
      <c r="H230" t="s">
        <v>51</v>
      </c>
      <c r="I230">
        <v>4</v>
      </c>
      <c r="J230">
        <v>1822</v>
      </c>
      <c r="K230">
        <v>4900</v>
      </c>
      <c r="L230">
        <v>1600</v>
      </c>
      <c r="M230">
        <v>10000</v>
      </c>
      <c r="N230" t="s">
        <v>27</v>
      </c>
      <c r="O230" t="s">
        <v>28</v>
      </c>
      <c r="P230" t="s">
        <v>74</v>
      </c>
      <c r="Q230" t="s">
        <v>229</v>
      </c>
      <c r="R230" t="s">
        <v>95</v>
      </c>
      <c r="S230" t="s">
        <v>30</v>
      </c>
      <c r="T230" t="s">
        <v>30</v>
      </c>
      <c r="U230" t="s">
        <v>30</v>
      </c>
      <c r="V230" t="s">
        <v>30</v>
      </c>
    </row>
    <row r="231" spans="1:22" ht="12.75">
      <c r="A231">
        <v>2018</v>
      </c>
      <c r="B231" t="s">
        <v>124</v>
      </c>
      <c r="C231" t="s">
        <v>84</v>
      </c>
      <c r="D231">
        <f>HYPERLINK("https://www.amazon.com/exec/obidos/ASIN/B07GM2J11Q","Chromebook C330")</f>
        <v>0</v>
      </c>
      <c r="E231" t="s">
        <v>48</v>
      </c>
      <c r="F231" t="s">
        <v>49</v>
      </c>
      <c r="G231" t="s">
        <v>170</v>
      </c>
      <c r="H231" t="s">
        <v>36</v>
      </c>
      <c r="I231">
        <v>4</v>
      </c>
      <c r="J231" t="s">
        <v>26</v>
      </c>
      <c r="K231">
        <v>2950</v>
      </c>
      <c r="L231">
        <v>1450</v>
      </c>
      <c r="M231" t="s">
        <v>171</v>
      </c>
      <c r="N231" t="s">
        <v>52</v>
      </c>
      <c r="O231" t="s">
        <v>28</v>
      </c>
      <c r="P231" t="s">
        <v>74</v>
      </c>
      <c r="Q231" t="s">
        <v>288</v>
      </c>
      <c r="R231" t="s">
        <v>154</v>
      </c>
      <c r="S231" t="s">
        <v>30</v>
      </c>
      <c r="T231" t="s">
        <v>30</v>
      </c>
      <c r="U231" t="s">
        <v>30</v>
      </c>
      <c r="V231" t="s">
        <v>31</v>
      </c>
    </row>
    <row r="232" spans="1:22" ht="12.75">
      <c r="A232">
        <v>2018</v>
      </c>
      <c r="B232" t="s">
        <v>124</v>
      </c>
      <c r="C232" t="s">
        <v>84</v>
      </c>
      <c r="D232">
        <f>HYPERLINK("https://www.amazon.com/exec/obidos/ASIN/B07L89DZLC","Chromebook S330")</f>
        <v>0</v>
      </c>
      <c r="E232" t="s">
        <v>33</v>
      </c>
      <c r="F232" t="s">
        <v>49</v>
      </c>
      <c r="G232" t="s">
        <v>170</v>
      </c>
      <c r="H232" t="s">
        <v>36</v>
      </c>
      <c r="I232">
        <v>4</v>
      </c>
      <c r="J232" t="s">
        <v>26</v>
      </c>
      <c r="K232">
        <v>2950</v>
      </c>
      <c r="L232">
        <v>1450</v>
      </c>
      <c r="M232" t="s">
        <v>171</v>
      </c>
      <c r="N232" t="s">
        <v>52</v>
      </c>
      <c r="O232" t="s">
        <v>28</v>
      </c>
      <c r="P232" t="s">
        <v>74</v>
      </c>
      <c r="Q232" t="s">
        <v>187</v>
      </c>
      <c r="R232" t="s">
        <v>82</v>
      </c>
      <c r="S232" t="s">
        <v>31</v>
      </c>
      <c r="T232" t="s">
        <v>31</v>
      </c>
      <c r="U232" t="s">
        <v>30</v>
      </c>
      <c r="V232" t="s">
        <v>31</v>
      </c>
    </row>
    <row r="233" spans="1:22" ht="12.75">
      <c r="A233">
        <v>2018</v>
      </c>
      <c r="B233" t="s">
        <v>124</v>
      </c>
      <c r="C233" t="s">
        <v>84</v>
      </c>
      <c r="D233">
        <f>HYPERLINK("https://www.amazon.com/exec/obidos/ASIN/B07GLV1VC7","Chromebook S330")</f>
        <v>0</v>
      </c>
      <c r="E233" t="s">
        <v>33</v>
      </c>
      <c r="F233" t="s">
        <v>34</v>
      </c>
      <c r="G233" t="s">
        <v>170</v>
      </c>
      <c r="H233" t="s">
        <v>36</v>
      </c>
      <c r="I233">
        <v>4</v>
      </c>
      <c r="J233" t="s">
        <v>26</v>
      </c>
      <c r="K233">
        <v>2950</v>
      </c>
      <c r="L233">
        <v>1450</v>
      </c>
      <c r="M233" t="s">
        <v>171</v>
      </c>
      <c r="N233" t="s">
        <v>52</v>
      </c>
      <c r="O233" t="s">
        <v>28</v>
      </c>
      <c r="P233" t="s">
        <v>74</v>
      </c>
      <c r="Q233" t="s">
        <v>182</v>
      </c>
      <c r="R233" t="s">
        <v>183</v>
      </c>
      <c r="S233" t="s">
        <v>30</v>
      </c>
      <c r="T233" t="s">
        <v>31</v>
      </c>
      <c r="U233" t="s">
        <v>30</v>
      </c>
      <c r="V233" t="s">
        <v>31</v>
      </c>
    </row>
    <row r="234" spans="1:22" ht="12.75">
      <c r="A234">
        <v>2018</v>
      </c>
      <c r="B234" t="s">
        <v>124</v>
      </c>
      <c r="C234" t="s">
        <v>84</v>
      </c>
      <c r="D234">
        <f>HYPERLINK("https://www.lenovo.com/us/en/laptops/yoga/yoga-c-series/Yoga-Chromebook/p/88YGCC61096","Yoga Chromebook C630 ")</f>
        <v>0</v>
      </c>
      <c r="E234" t="s">
        <v>132</v>
      </c>
      <c r="F234" t="s">
        <v>34</v>
      </c>
      <c r="G234" t="s">
        <v>141</v>
      </c>
      <c r="H234" t="s">
        <v>142</v>
      </c>
      <c r="I234">
        <v>2</v>
      </c>
      <c r="J234">
        <v>5326</v>
      </c>
      <c r="K234">
        <v>9200</v>
      </c>
      <c r="L234">
        <v>4550</v>
      </c>
      <c r="M234" t="s">
        <v>143</v>
      </c>
      <c r="N234" t="s">
        <v>98</v>
      </c>
      <c r="O234" t="s">
        <v>109</v>
      </c>
      <c r="P234" t="s">
        <v>74</v>
      </c>
      <c r="Q234" t="s">
        <v>289</v>
      </c>
      <c r="R234" t="s">
        <v>244</v>
      </c>
      <c r="S234" t="s">
        <v>30</v>
      </c>
      <c r="T234" t="s">
        <v>30</v>
      </c>
      <c r="U234" t="s">
        <v>30</v>
      </c>
      <c r="V234" t="s">
        <v>31</v>
      </c>
    </row>
    <row r="235" spans="1:22" ht="12.75">
      <c r="A235">
        <v>2018</v>
      </c>
      <c r="B235" t="s">
        <v>124</v>
      </c>
      <c r="C235" t="s">
        <v>84</v>
      </c>
      <c r="D235">
        <f>HYPERLINK("https://www.amazon.com/exec/obidos/ASIN/B07KKLBVVN","Yoga Chromebook C630")</f>
        <v>0</v>
      </c>
      <c r="E235" t="s">
        <v>132</v>
      </c>
      <c r="F235" t="s">
        <v>34</v>
      </c>
      <c r="G235" t="s">
        <v>144</v>
      </c>
      <c r="H235" t="s">
        <v>43</v>
      </c>
      <c r="I235">
        <v>4</v>
      </c>
      <c r="J235">
        <v>7658</v>
      </c>
      <c r="K235">
        <v>15500</v>
      </c>
      <c r="L235">
        <v>4600</v>
      </c>
      <c r="M235" t="s">
        <v>145</v>
      </c>
      <c r="N235" t="s">
        <v>98</v>
      </c>
      <c r="O235" t="s">
        <v>89</v>
      </c>
      <c r="P235" t="s">
        <v>74</v>
      </c>
      <c r="Q235" t="s">
        <v>289</v>
      </c>
      <c r="R235" t="s">
        <v>244</v>
      </c>
      <c r="S235" t="s">
        <v>30</v>
      </c>
      <c r="T235" t="s">
        <v>30</v>
      </c>
      <c r="U235" t="s">
        <v>30</v>
      </c>
      <c r="V235" t="s">
        <v>31</v>
      </c>
    </row>
    <row r="236" spans="1:22" ht="12.75">
      <c r="A236">
        <v>2018</v>
      </c>
      <c r="B236" t="s">
        <v>22</v>
      </c>
      <c r="C236" t="s">
        <v>290</v>
      </c>
      <c r="D236">
        <f>HYPERLINK("https://www.amazon.com/exec/obidos/ASIN/B073SGMMWF","Chromebook 14")</f>
        <v>0</v>
      </c>
      <c r="E236" t="s">
        <v>33</v>
      </c>
      <c r="F236" t="s">
        <v>34</v>
      </c>
      <c r="G236" t="s">
        <v>170</v>
      </c>
      <c r="H236" t="s">
        <v>36</v>
      </c>
      <c r="I236">
        <v>4</v>
      </c>
      <c r="J236" t="s">
        <v>26</v>
      </c>
      <c r="K236">
        <v>2950</v>
      </c>
      <c r="L236">
        <v>1450</v>
      </c>
      <c r="M236" t="s">
        <v>171</v>
      </c>
      <c r="N236" t="s">
        <v>52</v>
      </c>
      <c r="O236" t="s">
        <v>53</v>
      </c>
      <c r="P236" t="s">
        <v>29</v>
      </c>
      <c r="Q236" t="s">
        <v>291</v>
      </c>
      <c r="R236" t="s">
        <v>292</v>
      </c>
      <c r="S236" t="s">
        <v>30</v>
      </c>
      <c r="T236" t="s">
        <v>30</v>
      </c>
      <c r="U236" t="s">
        <v>30</v>
      </c>
      <c r="V236" t="s">
        <v>31</v>
      </c>
    </row>
    <row r="237" spans="1:22" ht="12.75">
      <c r="A237">
        <v>2018</v>
      </c>
      <c r="B237" t="s">
        <v>92</v>
      </c>
      <c r="C237" t="s">
        <v>96</v>
      </c>
      <c r="D237">
        <f>HYPERLINK("https://www.amazon.com/exec/obidos/ASIN/B07J1SY5QQ","Chromebook Plus v2")</f>
        <v>0</v>
      </c>
      <c r="E237" t="s">
        <v>293</v>
      </c>
      <c r="F237" t="s">
        <v>34</v>
      </c>
      <c r="G237" t="s">
        <v>275</v>
      </c>
      <c r="H237" t="s">
        <v>209</v>
      </c>
      <c r="I237">
        <v>2</v>
      </c>
      <c r="J237">
        <v>1619</v>
      </c>
      <c r="K237">
        <v>3650</v>
      </c>
      <c r="L237">
        <v>2150</v>
      </c>
      <c r="M237">
        <v>14000</v>
      </c>
      <c r="N237" t="s">
        <v>52</v>
      </c>
      <c r="O237" t="s">
        <v>28</v>
      </c>
      <c r="P237" t="s">
        <v>74</v>
      </c>
      <c r="Q237" t="s">
        <v>212</v>
      </c>
      <c r="R237" t="s">
        <v>213</v>
      </c>
      <c r="S237" t="s">
        <v>30</v>
      </c>
      <c r="T237" t="s">
        <v>30</v>
      </c>
      <c r="U237" t="s">
        <v>30</v>
      </c>
      <c r="V237" t="s">
        <v>30</v>
      </c>
    </row>
    <row r="238" spans="1:22" ht="12.75">
      <c r="A238">
        <v>2018</v>
      </c>
      <c r="B238" t="s">
        <v>124</v>
      </c>
      <c r="C238" t="s">
        <v>96</v>
      </c>
      <c r="D238">
        <f>HYPERLINK("https://www.amazon.com/exec/obidos/ASIN/B07J1WTLQZ","Chromebook Plus v2")</f>
        <v>0</v>
      </c>
      <c r="E238" t="s">
        <v>293</v>
      </c>
      <c r="F238" t="s">
        <v>34</v>
      </c>
      <c r="G238" t="s">
        <v>281</v>
      </c>
      <c r="H238" t="s">
        <v>282</v>
      </c>
      <c r="I238">
        <v>2</v>
      </c>
      <c r="J238">
        <v>3557</v>
      </c>
      <c r="K238">
        <v>6800</v>
      </c>
      <c r="L238">
        <v>3600</v>
      </c>
      <c r="M238" t="s">
        <v>294</v>
      </c>
      <c r="N238" t="s">
        <v>52</v>
      </c>
      <c r="O238" t="s">
        <v>109</v>
      </c>
      <c r="P238" t="s">
        <v>74</v>
      </c>
      <c r="Q238" t="s">
        <v>212</v>
      </c>
      <c r="R238" t="s">
        <v>213</v>
      </c>
      <c r="S238" t="s">
        <v>30</v>
      </c>
      <c r="T238" t="s">
        <v>30</v>
      </c>
      <c r="U238" t="s">
        <v>30</v>
      </c>
      <c r="V238" t="s">
        <v>30</v>
      </c>
    </row>
    <row r="239" spans="1:22" ht="12.75">
      <c r="A239">
        <v>2018</v>
      </c>
      <c r="B239" t="s">
        <v>103</v>
      </c>
      <c r="C239" t="s">
        <v>295</v>
      </c>
      <c r="D239">
        <f>HYPERLINK("https://www.amazon.com/exec/obidos/ASIN/B07L25GM51","E3 Chromebook")</f>
        <v>0</v>
      </c>
      <c r="E239" t="s">
        <v>48</v>
      </c>
      <c r="F239" t="s">
        <v>49</v>
      </c>
      <c r="G239" t="s">
        <v>252</v>
      </c>
      <c r="H239" t="s">
        <v>51</v>
      </c>
      <c r="I239">
        <v>4</v>
      </c>
      <c r="J239">
        <v>1822</v>
      </c>
      <c r="K239">
        <v>4900</v>
      </c>
      <c r="L239">
        <v>1600</v>
      </c>
      <c r="M239" t="s">
        <v>171</v>
      </c>
      <c r="N239" t="s">
        <v>52</v>
      </c>
      <c r="O239" t="s">
        <v>53</v>
      </c>
      <c r="P239" t="s">
        <v>29</v>
      </c>
      <c r="Q239" t="s">
        <v>296</v>
      </c>
      <c r="R239" t="s">
        <v>178</v>
      </c>
      <c r="S239" t="s">
        <v>30</v>
      </c>
      <c r="T239" t="s">
        <v>30</v>
      </c>
      <c r="U239" t="s">
        <v>30</v>
      </c>
      <c r="V239" t="s">
        <v>31</v>
      </c>
    </row>
    <row r="240" spans="1:22" ht="12.75">
      <c r="A240">
        <v>2017</v>
      </c>
      <c r="B240" t="s">
        <v>92</v>
      </c>
      <c r="C240" t="s">
        <v>23</v>
      </c>
      <c r="D240">
        <f>HYPERLINK("https://www.amazon.com/exec/obidos/ASIN/B078879TK6","Chromebook 11 C771")</f>
        <v>0</v>
      </c>
      <c r="E240" t="s">
        <v>48</v>
      </c>
      <c r="F240" t="s">
        <v>49</v>
      </c>
      <c r="G240" t="s">
        <v>297</v>
      </c>
      <c r="H240" t="s">
        <v>43</v>
      </c>
      <c r="I240">
        <v>2</v>
      </c>
      <c r="J240">
        <v>1720</v>
      </c>
      <c r="K240">
        <v>3700</v>
      </c>
      <c r="L240">
        <v>2200</v>
      </c>
      <c r="M240" t="s">
        <v>118</v>
      </c>
      <c r="N240" t="s">
        <v>52</v>
      </c>
      <c r="O240" t="s">
        <v>53</v>
      </c>
      <c r="P240" t="s">
        <v>80</v>
      </c>
      <c r="Q240" t="s">
        <v>229</v>
      </c>
      <c r="R240" t="s">
        <v>95</v>
      </c>
      <c r="S240" t="s">
        <v>30</v>
      </c>
      <c r="T240" t="s">
        <v>31</v>
      </c>
      <c r="U240" t="s">
        <v>30</v>
      </c>
      <c r="V240" t="s">
        <v>31</v>
      </c>
    </row>
    <row r="241" spans="1:22" ht="12.75">
      <c r="A241">
        <v>2017</v>
      </c>
      <c r="B241" t="s">
        <v>92</v>
      </c>
      <c r="C241" t="s">
        <v>23</v>
      </c>
      <c r="D241">
        <f>HYPERLINK("https://www.amazon.com/exec/obidos/ASIN/B074L2CT66","Chromebook 11 C771T")</f>
        <v>0</v>
      </c>
      <c r="E241" t="s">
        <v>48</v>
      </c>
      <c r="F241" t="s">
        <v>49</v>
      </c>
      <c r="G241" t="s">
        <v>297</v>
      </c>
      <c r="H241" t="s">
        <v>43</v>
      </c>
      <c r="I241">
        <v>2</v>
      </c>
      <c r="J241">
        <v>1720</v>
      </c>
      <c r="K241">
        <v>3700</v>
      </c>
      <c r="L241">
        <v>2200</v>
      </c>
      <c r="M241" t="s">
        <v>118</v>
      </c>
      <c r="N241" t="s">
        <v>52</v>
      </c>
      <c r="O241" t="s">
        <v>53</v>
      </c>
      <c r="P241" t="s">
        <v>80</v>
      </c>
      <c r="Q241" t="s">
        <v>229</v>
      </c>
      <c r="R241" t="s">
        <v>95</v>
      </c>
      <c r="S241" t="s">
        <v>30</v>
      </c>
      <c r="T241" t="s">
        <v>30</v>
      </c>
      <c r="U241" t="s">
        <v>30</v>
      </c>
      <c r="V241" t="s">
        <v>31</v>
      </c>
    </row>
    <row r="242" spans="1:22" ht="12.75">
      <c r="A242">
        <v>2017</v>
      </c>
      <c r="B242" t="s">
        <v>124</v>
      </c>
      <c r="C242" t="s">
        <v>23</v>
      </c>
      <c r="D242">
        <f>HYPERLINK("https://www.amazon.com/exec/obidos/ASIN/B0777JRD5X","Chromebook 11 C771T")</f>
        <v>0</v>
      </c>
      <c r="E242" t="s">
        <v>48</v>
      </c>
      <c r="F242" t="s">
        <v>49</v>
      </c>
      <c r="G242" t="s">
        <v>298</v>
      </c>
      <c r="H242" t="s">
        <v>138</v>
      </c>
      <c r="I242">
        <v>2</v>
      </c>
      <c r="J242">
        <v>3500</v>
      </c>
      <c r="K242">
        <v>6600</v>
      </c>
      <c r="L242">
        <v>3300</v>
      </c>
      <c r="M242" t="s">
        <v>299</v>
      </c>
      <c r="N242" t="s">
        <v>52</v>
      </c>
      <c r="O242" t="s">
        <v>53</v>
      </c>
      <c r="P242" t="s">
        <v>80</v>
      </c>
      <c r="Q242" t="s">
        <v>229</v>
      </c>
      <c r="R242" t="s">
        <v>95</v>
      </c>
      <c r="S242" t="s">
        <v>30</v>
      </c>
      <c r="T242" t="s">
        <v>30</v>
      </c>
      <c r="U242" t="s">
        <v>30</v>
      </c>
      <c r="V242" t="s">
        <v>31</v>
      </c>
    </row>
    <row r="243" spans="1:22" ht="12.75">
      <c r="A243">
        <v>2017</v>
      </c>
      <c r="B243" t="s">
        <v>124</v>
      </c>
      <c r="C243" t="s">
        <v>23</v>
      </c>
      <c r="D243">
        <f>HYPERLINK("https://www.amazon.com/exec/obidos/ASIN/B0769GH27N","Chromebook 11 C771T")</f>
        <v>0</v>
      </c>
      <c r="E243" t="s">
        <v>48</v>
      </c>
      <c r="F243" t="s">
        <v>49</v>
      </c>
      <c r="G243" t="s">
        <v>300</v>
      </c>
      <c r="H243" t="s">
        <v>138</v>
      </c>
      <c r="I243">
        <v>2</v>
      </c>
      <c r="J243">
        <v>3960</v>
      </c>
      <c r="K243">
        <v>7550</v>
      </c>
      <c r="L243">
        <v>3950</v>
      </c>
      <c r="M243" t="s">
        <v>301</v>
      </c>
      <c r="N243" t="s">
        <v>98</v>
      </c>
      <c r="O243" t="s">
        <v>109</v>
      </c>
      <c r="P243" t="s">
        <v>80</v>
      </c>
      <c r="Q243" t="s">
        <v>229</v>
      </c>
      <c r="R243" t="s">
        <v>95</v>
      </c>
      <c r="S243" t="s">
        <v>30</v>
      </c>
      <c r="T243" t="s">
        <v>30</v>
      </c>
      <c r="U243" t="s">
        <v>30</v>
      </c>
      <c r="V243" t="s">
        <v>31</v>
      </c>
    </row>
    <row r="244" spans="1:22" ht="12.75">
      <c r="A244">
        <v>2017</v>
      </c>
      <c r="B244" t="s">
        <v>63</v>
      </c>
      <c r="C244" t="s">
        <v>23</v>
      </c>
      <c r="D244">
        <f>HYPERLINK("https://www.amazon.com/exec/obidos/ASIN/B01N0Z4KD5","Chromebook 11 N7 (C731)")</f>
        <v>0</v>
      </c>
      <c r="E244" t="s">
        <v>48</v>
      </c>
      <c r="F244" t="s">
        <v>49</v>
      </c>
      <c r="G244" t="s">
        <v>248</v>
      </c>
      <c r="H244" t="s">
        <v>43</v>
      </c>
      <c r="I244">
        <v>2</v>
      </c>
      <c r="J244">
        <v>1040</v>
      </c>
      <c r="K244">
        <v>2200</v>
      </c>
      <c r="L244">
        <v>1200</v>
      </c>
      <c r="M244">
        <v>8800</v>
      </c>
      <c r="N244" t="s">
        <v>52</v>
      </c>
      <c r="O244" t="s">
        <v>73</v>
      </c>
      <c r="P244" t="s">
        <v>29</v>
      </c>
      <c r="Q244" t="s">
        <v>229</v>
      </c>
      <c r="R244" t="s">
        <v>95</v>
      </c>
      <c r="S244" t="s">
        <v>31</v>
      </c>
      <c r="T244" t="s">
        <v>31</v>
      </c>
      <c r="U244" t="s">
        <v>30</v>
      </c>
      <c r="V244" t="s">
        <v>31</v>
      </c>
    </row>
    <row r="245" spans="1:22" ht="12.75">
      <c r="A245">
        <v>2017</v>
      </c>
      <c r="B245" t="s">
        <v>63</v>
      </c>
      <c r="C245" t="s">
        <v>23</v>
      </c>
      <c r="D245">
        <f>HYPERLINK("https://www.amazon.com/exec/obidos/ASIN/B01N20LNSG","Chromebook 11 N7 (C731T)")</f>
        <v>0</v>
      </c>
      <c r="E245" t="s">
        <v>48</v>
      </c>
      <c r="F245" t="s">
        <v>49</v>
      </c>
      <c r="G245" t="s">
        <v>248</v>
      </c>
      <c r="H245" t="s">
        <v>43</v>
      </c>
      <c r="I245">
        <v>2</v>
      </c>
      <c r="J245">
        <v>1040</v>
      </c>
      <c r="K245">
        <v>2200</v>
      </c>
      <c r="L245">
        <v>1200</v>
      </c>
      <c r="M245">
        <v>8800</v>
      </c>
      <c r="N245" t="s">
        <v>52</v>
      </c>
      <c r="O245" t="s">
        <v>73</v>
      </c>
      <c r="P245" t="s">
        <v>29</v>
      </c>
      <c r="Q245" t="s">
        <v>229</v>
      </c>
      <c r="R245" t="s">
        <v>95</v>
      </c>
      <c r="S245" t="s">
        <v>30</v>
      </c>
      <c r="T245" t="s">
        <v>30</v>
      </c>
      <c r="U245" t="s">
        <v>30</v>
      </c>
      <c r="V245" t="s">
        <v>31</v>
      </c>
    </row>
    <row r="246" spans="1:22" ht="12.75">
      <c r="A246">
        <v>2017</v>
      </c>
      <c r="B246" t="s">
        <v>63</v>
      </c>
      <c r="C246" t="s">
        <v>23</v>
      </c>
      <c r="D246">
        <f>HYPERLINK("https://www.amazon.com/exec/obidos/ASIN/B06WVCGY6K","Chromebook 11 N7 (CB311-7H)")</f>
        <v>0</v>
      </c>
      <c r="E246" t="s">
        <v>48</v>
      </c>
      <c r="F246" t="s">
        <v>49</v>
      </c>
      <c r="G246" t="s">
        <v>248</v>
      </c>
      <c r="H246" t="s">
        <v>43</v>
      </c>
      <c r="I246">
        <v>2</v>
      </c>
      <c r="J246">
        <v>1040</v>
      </c>
      <c r="K246">
        <v>2200</v>
      </c>
      <c r="L246">
        <v>1200</v>
      </c>
      <c r="M246" t="s">
        <v>249</v>
      </c>
      <c r="N246" t="s">
        <v>52</v>
      </c>
      <c r="O246" t="s">
        <v>73</v>
      </c>
      <c r="P246" t="s">
        <v>29</v>
      </c>
      <c r="Q246" t="s">
        <v>229</v>
      </c>
      <c r="R246" t="s">
        <v>95</v>
      </c>
      <c r="S246" t="s">
        <v>30</v>
      </c>
      <c r="T246" t="s">
        <v>31</v>
      </c>
      <c r="U246" t="s">
        <v>30</v>
      </c>
      <c r="V246" t="s">
        <v>31</v>
      </c>
    </row>
    <row r="247" spans="1:22" ht="12.75">
      <c r="A247">
        <v>2017</v>
      </c>
      <c r="B247" t="s">
        <v>63</v>
      </c>
      <c r="C247" t="s">
        <v>23</v>
      </c>
      <c r="D247">
        <f>HYPERLINK("https://www.amazon.com/exec/obidos/ASIN/B06VVYMFNN","Chromebook 11 N7 (CB311-7HT)")</f>
        <v>0</v>
      </c>
      <c r="E247" t="s">
        <v>48</v>
      </c>
      <c r="F247" t="s">
        <v>49</v>
      </c>
      <c r="G247" t="s">
        <v>248</v>
      </c>
      <c r="H247" t="s">
        <v>43</v>
      </c>
      <c r="I247">
        <v>2</v>
      </c>
      <c r="J247">
        <v>1040</v>
      </c>
      <c r="K247">
        <v>2200</v>
      </c>
      <c r="L247">
        <v>1200</v>
      </c>
      <c r="M247" t="s">
        <v>249</v>
      </c>
      <c r="N247" t="s">
        <v>52</v>
      </c>
      <c r="O247" t="s">
        <v>73</v>
      </c>
      <c r="P247" t="s">
        <v>29</v>
      </c>
      <c r="Q247" t="s">
        <v>229</v>
      </c>
      <c r="R247" t="s">
        <v>95</v>
      </c>
      <c r="S247" t="s">
        <v>30</v>
      </c>
      <c r="T247" t="s">
        <v>30</v>
      </c>
      <c r="U247" t="s">
        <v>30</v>
      </c>
      <c r="V247" t="s">
        <v>31</v>
      </c>
    </row>
    <row r="248" spans="1:22" ht="12.75">
      <c r="A248">
        <v>2017</v>
      </c>
      <c r="B248" t="s">
        <v>22</v>
      </c>
      <c r="C248" t="s">
        <v>23</v>
      </c>
      <c r="D248">
        <f>HYPERLINK("https://www.amazon.com/exec/obidos/ASIN/B07B8QMNMV","Chromebook 15 (2017; CB3-532)")</f>
        <v>0</v>
      </c>
      <c r="E248" t="s">
        <v>132</v>
      </c>
      <c r="F248" t="s">
        <v>49</v>
      </c>
      <c r="G248" t="s">
        <v>248</v>
      </c>
      <c r="H248" t="s">
        <v>43</v>
      </c>
      <c r="I248">
        <v>2</v>
      </c>
      <c r="J248">
        <v>1040</v>
      </c>
      <c r="K248">
        <v>2200</v>
      </c>
      <c r="L248">
        <v>1200</v>
      </c>
      <c r="M248" t="s">
        <v>249</v>
      </c>
      <c r="N248" t="s">
        <v>250</v>
      </c>
      <c r="O248" t="s">
        <v>73</v>
      </c>
      <c r="P248" t="s">
        <v>29</v>
      </c>
      <c r="Q248" t="s">
        <v>146</v>
      </c>
      <c r="R248" t="s">
        <v>147</v>
      </c>
      <c r="S248" t="s">
        <v>31</v>
      </c>
      <c r="T248" t="s">
        <v>31</v>
      </c>
      <c r="U248" t="s">
        <v>30</v>
      </c>
      <c r="V248" t="s">
        <v>31</v>
      </c>
    </row>
    <row r="249" spans="1:22" ht="12.75">
      <c r="A249">
        <v>2017</v>
      </c>
      <c r="B249" t="s">
        <v>46</v>
      </c>
      <c r="C249" t="s">
        <v>23</v>
      </c>
      <c r="D249">
        <f>HYPERLINK("https://www.amazon.co.uk/exec/obidos/ASIN/B072F7XHVQ","Chromebook 15 (2017; CB3-532)")</f>
        <v>0</v>
      </c>
      <c r="E249" t="s">
        <v>132</v>
      </c>
      <c r="F249" t="s">
        <v>34</v>
      </c>
      <c r="G249" t="s">
        <v>302</v>
      </c>
      <c r="H249" t="s">
        <v>43</v>
      </c>
      <c r="I249">
        <v>4</v>
      </c>
      <c r="J249">
        <v>1470</v>
      </c>
      <c r="K249" t="s">
        <v>303</v>
      </c>
      <c r="L249">
        <v>1150</v>
      </c>
      <c r="M249" t="s">
        <v>304</v>
      </c>
      <c r="N249" t="s">
        <v>250</v>
      </c>
      <c r="O249" t="s">
        <v>73</v>
      </c>
      <c r="P249" t="s">
        <v>214</v>
      </c>
      <c r="Q249" t="s">
        <v>146</v>
      </c>
      <c r="R249" t="s">
        <v>147</v>
      </c>
      <c r="S249" t="s">
        <v>31</v>
      </c>
      <c r="T249" t="s">
        <v>31</v>
      </c>
      <c r="U249" t="s">
        <v>30</v>
      </c>
      <c r="V249" t="s">
        <v>31</v>
      </c>
    </row>
    <row r="250" spans="1:22" ht="12.75">
      <c r="A250">
        <v>2017</v>
      </c>
      <c r="B250" t="s">
        <v>124</v>
      </c>
      <c r="C250" t="s">
        <v>23</v>
      </c>
      <c r="D250">
        <f>HYPERLINK("https://www.coolblue.nl/product/793925/acer-chromebook-15-cb515-1h-c1vs.html","Chromebook 15 (2017; CB515-1H)")</f>
        <v>0</v>
      </c>
      <c r="E250" t="s">
        <v>132</v>
      </c>
      <c r="F250" t="s">
        <v>34</v>
      </c>
      <c r="G250" t="s">
        <v>174</v>
      </c>
      <c r="H250" t="s">
        <v>51</v>
      </c>
      <c r="I250">
        <v>2</v>
      </c>
      <c r="J250">
        <v>1144</v>
      </c>
      <c r="K250">
        <v>2900</v>
      </c>
      <c r="L250">
        <v>1650</v>
      </c>
      <c r="M250" t="s">
        <v>166</v>
      </c>
      <c r="N250" t="s">
        <v>52</v>
      </c>
      <c r="O250" t="s">
        <v>53</v>
      </c>
      <c r="P250" t="s">
        <v>29</v>
      </c>
      <c r="Q250" t="s">
        <v>305</v>
      </c>
      <c r="R250" t="s">
        <v>306</v>
      </c>
      <c r="S250" t="s">
        <v>30</v>
      </c>
      <c r="T250" t="s">
        <v>31</v>
      </c>
      <c r="U250" t="s">
        <v>30</v>
      </c>
      <c r="V250" t="s">
        <v>31</v>
      </c>
    </row>
    <row r="251" spans="1:22" ht="12.75">
      <c r="A251">
        <v>2017</v>
      </c>
      <c r="B251" t="s">
        <v>124</v>
      </c>
      <c r="C251" t="s">
        <v>23</v>
      </c>
      <c r="D251">
        <f>HYPERLINK("https://www.amazon.com/exec/obidos/ASIN/B076V3YMRY","Chromebook 15 (2017; CB515-1HT)")</f>
        <v>0</v>
      </c>
      <c r="E251" t="s">
        <v>132</v>
      </c>
      <c r="F251" t="s">
        <v>34</v>
      </c>
      <c r="G251" t="s">
        <v>256</v>
      </c>
      <c r="H251" t="s">
        <v>51</v>
      </c>
      <c r="I251">
        <v>4</v>
      </c>
      <c r="J251">
        <v>2033</v>
      </c>
      <c r="K251">
        <v>5300</v>
      </c>
      <c r="L251">
        <v>1750</v>
      </c>
      <c r="M251">
        <v>11500</v>
      </c>
      <c r="N251" t="s">
        <v>27</v>
      </c>
      <c r="O251" t="s">
        <v>28</v>
      </c>
      <c r="P251" t="s">
        <v>29</v>
      </c>
      <c r="Q251" t="s">
        <v>146</v>
      </c>
      <c r="R251" t="s">
        <v>147</v>
      </c>
      <c r="S251" t="s">
        <v>30</v>
      </c>
      <c r="T251" t="s">
        <v>30</v>
      </c>
      <c r="U251" t="s">
        <v>30</v>
      </c>
      <c r="V251" t="s">
        <v>31</v>
      </c>
    </row>
    <row r="252" spans="1:22" ht="12.75">
      <c r="A252">
        <v>2017</v>
      </c>
      <c r="B252" t="s">
        <v>124</v>
      </c>
      <c r="C252" t="s">
        <v>23</v>
      </c>
      <c r="D252">
        <f>HYPERLINK("https://www.amazon.ca/exec/obidos/ASIN/B07887NVLM","Chromebook 15 (2017; CB515-1HT)")</f>
        <v>0</v>
      </c>
      <c r="E252" t="s">
        <v>132</v>
      </c>
      <c r="F252" t="s">
        <v>34</v>
      </c>
      <c r="G252" t="s">
        <v>252</v>
      </c>
      <c r="H252" t="s">
        <v>51</v>
      </c>
      <c r="I252">
        <v>4</v>
      </c>
      <c r="J252">
        <v>1822</v>
      </c>
      <c r="K252">
        <v>4900</v>
      </c>
      <c r="L252">
        <v>1600</v>
      </c>
      <c r="M252" t="s">
        <v>171</v>
      </c>
      <c r="N252" t="s">
        <v>52</v>
      </c>
      <c r="O252" t="s">
        <v>28</v>
      </c>
      <c r="P252" t="s">
        <v>29</v>
      </c>
      <c r="Q252" t="s">
        <v>146</v>
      </c>
      <c r="R252" t="s">
        <v>147</v>
      </c>
      <c r="S252" t="s">
        <v>30</v>
      </c>
      <c r="T252" t="s">
        <v>30</v>
      </c>
      <c r="U252" t="s">
        <v>30</v>
      </c>
      <c r="V252" t="s">
        <v>31</v>
      </c>
    </row>
    <row r="253" spans="1:22" ht="12.75">
      <c r="A253">
        <v>2017</v>
      </c>
      <c r="B253" t="s">
        <v>83</v>
      </c>
      <c r="C253" t="s">
        <v>23</v>
      </c>
      <c r="D253">
        <f>HYPERLINK("https://www.amazon.com/exec/obidos/ASIN/B074BWHPVR","Chromebook Spin 11 (R751T/TN; CP511)")</f>
        <v>0</v>
      </c>
      <c r="E253" t="s">
        <v>48</v>
      </c>
      <c r="F253" t="s">
        <v>49</v>
      </c>
      <c r="G253" t="s">
        <v>174</v>
      </c>
      <c r="H253" t="s">
        <v>51</v>
      </c>
      <c r="I253">
        <v>2</v>
      </c>
      <c r="J253">
        <v>1144</v>
      </c>
      <c r="K253">
        <v>2900</v>
      </c>
      <c r="L253">
        <v>1650</v>
      </c>
      <c r="M253" t="s">
        <v>166</v>
      </c>
      <c r="N253" t="s">
        <v>27</v>
      </c>
      <c r="O253" t="s">
        <v>28</v>
      </c>
      <c r="P253" t="s">
        <v>74</v>
      </c>
      <c r="Q253" t="s">
        <v>110</v>
      </c>
      <c r="R253" t="s">
        <v>111</v>
      </c>
      <c r="S253" t="s">
        <v>30</v>
      </c>
      <c r="T253" t="s">
        <v>30</v>
      </c>
      <c r="U253" t="s">
        <v>30</v>
      </c>
      <c r="V253" t="s">
        <v>30</v>
      </c>
    </row>
    <row r="254" spans="1:22" ht="12.75">
      <c r="A254">
        <v>2017</v>
      </c>
      <c r="B254" t="s">
        <v>83</v>
      </c>
      <c r="C254" t="s">
        <v>23</v>
      </c>
      <c r="D254">
        <f>HYPERLINK("https://www.acer.com/ac/en/AE/content/professional-model/NX.GNJEM.003","Chromebook Spin 11 (R751T/TN; CP511)")</f>
        <v>0</v>
      </c>
      <c r="E254" t="s">
        <v>48</v>
      </c>
      <c r="F254" t="s">
        <v>49</v>
      </c>
      <c r="G254" t="s">
        <v>252</v>
      </c>
      <c r="H254" t="s">
        <v>51</v>
      </c>
      <c r="I254">
        <v>4</v>
      </c>
      <c r="J254">
        <v>1822</v>
      </c>
      <c r="K254">
        <v>4900</v>
      </c>
      <c r="L254">
        <v>1600</v>
      </c>
      <c r="M254">
        <v>10000</v>
      </c>
      <c r="N254" t="s">
        <v>27</v>
      </c>
      <c r="O254" t="s">
        <v>28</v>
      </c>
      <c r="P254" t="s">
        <v>74</v>
      </c>
      <c r="Q254" t="s">
        <v>110</v>
      </c>
      <c r="R254" t="s">
        <v>111</v>
      </c>
      <c r="S254" t="s">
        <v>30</v>
      </c>
      <c r="T254" t="s">
        <v>30</v>
      </c>
      <c r="U254" t="s">
        <v>30</v>
      </c>
      <c r="V254" t="s">
        <v>30</v>
      </c>
    </row>
    <row r="255" spans="1:22" ht="12.75">
      <c r="A255">
        <v>2017</v>
      </c>
      <c r="B255" t="s">
        <v>112</v>
      </c>
      <c r="C255" t="s">
        <v>32</v>
      </c>
      <c r="D255">
        <f>HYPERLINK("https://www.amazon.com/exec/obidos/ASIN/B075KFFMZS","C101PA Flip")</f>
        <v>0</v>
      </c>
      <c r="E255" t="s">
        <v>307</v>
      </c>
      <c r="F255" t="s">
        <v>308</v>
      </c>
      <c r="G255" t="s">
        <v>165</v>
      </c>
      <c r="H255" t="s">
        <v>43</v>
      </c>
      <c r="I255">
        <v>6</v>
      </c>
      <c r="J255" t="s">
        <v>26</v>
      </c>
      <c r="K255">
        <v>3900</v>
      </c>
      <c r="L255">
        <v>1600</v>
      </c>
      <c r="M255" t="s">
        <v>309</v>
      </c>
      <c r="N255" t="s">
        <v>52</v>
      </c>
      <c r="O255" t="s">
        <v>73</v>
      </c>
      <c r="P255" t="s">
        <v>100</v>
      </c>
      <c r="Q255" t="s">
        <v>310</v>
      </c>
      <c r="R255" t="s">
        <v>311</v>
      </c>
      <c r="S255" t="s">
        <v>30</v>
      </c>
      <c r="T255" t="s">
        <v>30</v>
      </c>
      <c r="U255" t="s">
        <v>30</v>
      </c>
      <c r="V255" t="s">
        <v>31</v>
      </c>
    </row>
    <row r="256" spans="1:22" ht="12.75">
      <c r="A256">
        <v>2017</v>
      </c>
      <c r="B256" t="s">
        <v>121</v>
      </c>
      <c r="C256" t="s">
        <v>32</v>
      </c>
      <c r="D256">
        <f>HYPERLINK("https://www.amazon.com/exec/obidos/ASIN/B06Y31BH12","C213 Flip (edu)")</f>
        <v>0</v>
      </c>
      <c r="E256" t="s">
        <v>48</v>
      </c>
      <c r="F256" t="s">
        <v>49</v>
      </c>
      <c r="G256" t="s">
        <v>174</v>
      </c>
      <c r="H256" t="s">
        <v>51</v>
      </c>
      <c r="I256">
        <v>2</v>
      </c>
      <c r="J256">
        <v>1144</v>
      </c>
      <c r="K256">
        <v>2900</v>
      </c>
      <c r="L256">
        <v>1650</v>
      </c>
      <c r="M256" t="s">
        <v>166</v>
      </c>
      <c r="N256" t="s">
        <v>52</v>
      </c>
      <c r="O256" t="s">
        <v>53</v>
      </c>
      <c r="P256" t="s">
        <v>29</v>
      </c>
      <c r="Q256" t="s">
        <v>287</v>
      </c>
      <c r="R256" t="s">
        <v>120</v>
      </c>
      <c r="S256" t="s">
        <v>31</v>
      </c>
      <c r="T256" t="s">
        <v>30</v>
      </c>
      <c r="U256" t="s">
        <v>30</v>
      </c>
      <c r="V256" t="s">
        <v>30</v>
      </c>
    </row>
    <row r="257" spans="1:22" ht="12.75">
      <c r="A257">
        <v>2017</v>
      </c>
      <c r="B257" t="s">
        <v>63</v>
      </c>
      <c r="C257" t="s">
        <v>32</v>
      </c>
      <c r="D257">
        <f>HYPERLINK("https://www.amazon.com/exec/obidos/ASIN/B01N5G5PG2","C302CA Flip")</f>
        <v>0</v>
      </c>
      <c r="E257" t="s">
        <v>312</v>
      </c>
      <c r="F257" t="s">
        <v>34</v>
      </c>
      <c r="G257" t="s">
        <v>313</v>
      </c>
      <c r="H257" t="s">
        <v>314</v>
      </c>
      <c r="I257">
        <v>2</v>
      </c>
      <c r="J257">
        <v>3060</v>
      </c>
      <c r="K257">
        <v>5850</v>
      </c>
      <c r="L257">
        <v>3200</v>
      </c>
      <c r="M257">
        <v>22500</v>
      </c>
      <c r="N257" t="s">
        <v>27</v>
      </c>
      <c r="O257" t="s">
        <v>28</v>
      </c>
      <c r="P257" t="s">
        <v>74</v>
      </c>
      <c r="Q257" t="s">
        <v>153</v>
      </c>
      <c r="R257" t="s">
        <v>154</v>
      </c>
      <c r="S257" t="s">
        <v>30</v>
      </c>
      <c r="T257" t="s">
        <v>30</v>
      </c>
      <c r="U257" t="s">
        <v>30</v>
      </c>
      <c r="V257" t="s">
        <v>31</v>
      </c>
    </row>
    <row r="258" spans="1:22" ht="12.75">
      <c r="A258">
        <v>2017</v>
      </c>
      <c r="B258" t="s">
        <v>136</v>
      </c>
      <c r="C258" t="s">
        <v>32</v>
      </c>
      <c r="D258">
        <f>HYPERLINK("https://www.amazon.com/exec/obidos/ASIN/B074VB8VT5","C302CA Flip")</f>
        <v>0</v>
      </c>
      <c r="E258" t="s">
        <v>312</v>
      </c>
      <c r="F258" t="s">
        <v>34</v>
      </c>
      <c r="G258" t="s">
        <v>315</v>
      </c>
      <c r="H258" t="s">
        <v>51</v>
      </c>
      <c r="I258">
        <v>2</v>
      </c>
      <c r="J258">
        <v>3357</v>
      </c>
      <c r="K258">
        <v>6700</v>
      </c>
      <c r="L258">
        <v>3600</v>
      </c>
      <c r="M258" t="s">
        <v>316</v>
      </c>
      <c r="N258" t="s">
        <v>52</v>
      </c>
      <c r="O258" t="s">
        <v>109</v>
      </c>
      <c r="P258" t="s">
        <v>74</v>
      </c>
      <c r="Q258" t="s">
        <v>153</v>
      </c>
      <c r="R258" t="s">
        <v>154</v>
      </c>
      <c r="S258" t="s">
        <v>30</v>
      </c>
      <c r="T258" t="s">
        <v>30</v>
      </c>
      <c r="U258" t="s">
        <v>30</v>
      </c>
      <c r="V258" t="s">
        <v>31</v>
      </c>
    </row>
    <row r="259" spans="1:22" ht="12.75">
      <c r="A259">
        <v>2017</v>
      </c>
      <c r="B259" t="s">
        <v>46</v>
      </c>
      <c r="C259" t="s">
        <v>32</v>
      </c>
      <c r="D259">
        <f>HYPERLINK("https://www.amazon.com/exec/obidos/ASIN/B079C8XZJK","C302CA Flip")</f>
        <v>0</v>
      </c>
      <c r="E259" t="s">
        <v>312</v>
      </c>
      <c r="F259" t="s">
        <v>34</v>
      </c>
      <c r="G259" t="s">
        <v>317</v>
      </c>
      <c r="H259" t="s">
        <v>43</v>
      </c>
      <c r="I259">
        <v>2</v>
      </c>
      <c r="J259">
        <v>3560</v>
      </c>
      <c r="K259">
        <v>7500</v>
      </c>
      <c r="L259">
        <v>3900</v>
      </c>
      <c r="M259" t="s">
        <v>318</v>
      </c>
      <c r="N259" t="s">
        <v>319</v>
      </c>
      <c r="O259" t="s">
        <v>109</v>
      </c>
      <c r="P259" t="s">
        <v>74</v>
      </c>
      <c r="Q259" t="s">
        <v>153</v>
      </c>
      <c r="R259" t="s">
        <v>154</v>
      </c>
      <c r="S259" t="s">
        <v>30</v>
      </c>
      <c r="T259" t="s">
        <v>30</v>
      </c>
      <c r="U259" t="s">
        <v>30</v>
      </c>
      <c r="V259" t="s">
        <v>31</v>
      </c>
    </row>
    <row r="260" spans="1:22" ht="12.75">
      <c r="A260">
        <v>2017</v>
      </c>
      <c r="B260" t="s">
        <v>63</v>
      </c>
      <c r="C260" t="s">
        <v>32</v>
      </c>
      <c r="D260">
        <f>HYPERLINK("https://www.amazon.com/exec/obidos/ASIN/B06ZZBM2LF","C302CA Flip")</f>
        <v>0</v>
      </c>
      <c r="E260" t="s">
        <v>312</v>
      </c>
      <c r="F260" t="s">
        <v>34</v>
      </c>
      <c r="G260" t="s">
        <v>320</v>
      </c>
      <c r="H260" t="s">
        <v>209</v>
      </c>
      <c r="I260">
        <v>2</v>
      </c>
      <c r="J260">
        <v>2260</v>
      </c>
      <c r="K260">
        <v>3850</v>
      </c>
      <c r="L260">
        <v>1950</v>
      </c>
      <c r="M260">
        <v>14600</v>
      </c>
      <c r="N260" t="s">
        <v>52</v>
      </c>
      <c r="O260" t="s">
        <v>53</v>
      </c>
      <c r="P260" t="s">
        <v>74</v>
      </c>
      <c r="Q260" t="s">
        <v>153</v>
      </c>
      <c r="R260" t="s">
        <v>154</v>
      </c>
      <c r="S260" t="s">
        <v>30</v>
      </c>
      <c r="T260" t="s">
        <v>30</v>
      </c>
      <c r="U260" t="s">
        <v>30</v>
      </c>
      <c r="V260" t="s">
        <v>31</v>
      </c>
    </row>
    <row r="261" spans="1:22" ht="12.75">
      <c r="A261">
        <v>2017</v>
      </c>
      <c r="B261" t="s">
        <v>46</v>
      </c>
      <c r="C261" t="s">
        <v>190</v>
      </c>
      <c r="D261">
        <f>HYPERLINK("https://www.amazon.com/exec/obidos/ASIN/B06X9DT3SF","Chromebook 3180 Edu")</f>
        <v>0</v>
      </c>
      <c r="E261" t="s">
        <v>48</v>
      </c>
      <c r="F261" t="s">
        <v>49</v>
      </c>
      <c r="G261" t="s">
        <v>248</v>
      </c>
      <c r="H261" t="s">
        <v>43</v>
      </c>
      <c r="I261">
        <v>2</v>
      </c>
      <c r="J261">
        <v>1040</v>
      </c>
      <c r="K261">
        <v>2200</v>
      </c>
      <c r="L261">
        <v>1200</v>
      </c>
      <c r="M261" t="s">
        <v>249</v>
      </c>
      <c r="N261" t="s">
        <v>250</v>
      </c>
      <c r="O261" t="s">
        <v>73</v>
      </c>
      <c r="P261" t="s">
        <v>74</v>
      </c>
      <c r="Q261" t="s">
        <v>321</v>
      </c>
      <c r="R261" t="s">
        <v>59</v>
      </c>
      <c r="S261" t="s">
        <v>31</v>
      </c>
      <c r="T261" t="s">
        <v>31</v>
      </c>
      <c r="U261" t="s">
        <v>30</v>
      </c>
      <c r="V261" t="s">
        <v>31</v>
      </c>
    </row>
    <row r="262" spans="1:22" ht="12.75">
      <c r="A262">
        <v>2017</v>
      </c>
      <c r="B262" t="s">
        <v>46</v>
      </c>
      <c r="C262" t="s">
        <v>190</v>
      </c>
      <c r="D262">
        <f>HYPERLINK("https://www.amazon.com/exec/obidos/ASIN/B06X9NWMJ8","Chromebook 3189 Edu")</f>
        <v>0</v>
      </c>
      <c r="E262" t="s">
        <v>48</v>
      </c>
      <c r="F262" t="s">
        <v>49</v>
      </c>
      <c r="G262" t="s">
        <v>248</v>
      </c>
      <c r="H262" t="s">
        <v>43</v>
      </c>
      <c r="I262">
        <v>2</v>
      </c>
      <c r="J262">
        <v>1040</v>
      </c>
      <c r="K262">
        <v>2200</v>
      </c>
      <c r="L262">
        <v>1200</v>
      </c>
      <c r="M262">
        <v>8800</v>
      </c>
      <c r="N262" t="s">
        <v>52</v>
      </c>
      <c r="O262" t="s">
        <v>66</v>
      </c>
      <c r="P262" t="s">
        <v>74</v>
      </c>
      <c r="Q262" t="s">
        <v>322</v>
      </c>
      <c r="R262" t="s">
        <v>323</v>
      </c>
      <c r="S262" t="s">
        <v>30</v>
      </c>
      <c r="T262" t="s">
        <v>30</v>
      </c>
      <c r="U262" t="s">
        <v>30</v>
      </c>
      <c r="V262" t="s">
        <v>31</v>
      </c>
    </row>
    <row r="263" spans="1:22" ht="12.75">
      <c r="A263">
        <v>2017</v>
      </c>
      <c r="B263" t="s">
        <v>46</v>
      </c>
      <c r="C263" t="s">
        <v>190</v>
      </c>
      <c r="D263">
        <f>HYPERLINK("https://www.amazon.com/exec/obidos/ASIN/B06X9Q3N78","Chromebook 3380 Edu")</f>
        <v>0</v>
      </c>
      <c r="E263" t="s">
        <v>93</v>
      </c>
      <c r="F263" t="s">
        <v>49</v>
      </c>
      <c r="G263" t="s">
        <v>297</v>
      </c>
      <c r="H263" t="s">
        <v>43</v>
      </c>
      <c r="I263">
        <v>2</v>
      </c>
      <c r="J263">
        <v>1720</v>
      </c>
      <c r="K263">
        <v>3700</v>
      </c>
      <c r="L263">
        <v>2200</v>
      </c>
      <c r="M263" t="s">
        <v>118</v>
      </c>
      <c r="N263" t="s">
        <v>52</v>
      </c>
      <c r="O263" t="s">
        <v>66</v>
      </c>
      <c r="P263" t="s">
        <v>74</v>
      </c>
      <c r="Q263" t="s">
        <v>324</v>
      </c>
      <c r="R263" t="s">
        <v>224</v>
      </c>
      <c r="S263" t="s">
        <v>31</v>
      </c>
      <c r="T263" t="s">
        <v>31</v>
      </c>
      <c r="U263" t="s">
        <v>30</v>
      </c>
      <c r="V263" t="s">
        <v>31</v>
      </c>
    </row>
    <row r="264" spans="1:22" ht="12.75">
      <c r="A264">
        <v>2017</v>
      </c>
      <c r="B264" t="s">
        <v>46</v>
      </c>
      <c r="C264" t="s">
        <v>190</v>
      </c>
      <c r="D264">
        <f aca="true" t="shared" si="12" ref="D264:D266">HYPERLINK("http://www.dell.com/us/business/p/chromebook-13-3380-laptop/pd","Chromebook 3380 Edu")</f>
        <v>0</v>
      </c>
      <c r="E264" t="s">
        <v>93</v>
      </c>
      <c r="F264" t="s">
        <v>49</v>
      </c>
      <c r="G264" t="s">
        <v>297</v>
      </c>
      <c r="H264" t="s">
        <v>43</v>
      </c>
      <c r="I264">
        <v>2</v>
      </c>
      <c r="J264">
        <v>1720</v>
      </c>
      <c r="K264">
        <v>3700</v>
      </c>
      <c r="L264">
        <v>2200</v>
      </c>
      <c r="M264" t="s">
        <v>118</v>
      </c>
      <c r="N264" t="s">
        <v>52</v>
      </c>
      <c r="O264" t="s">
        <v>73</v>
      </c>
      <c r="P264" t="s">
        <v>74</v>
      </c>
      <c r="Q264" t="s">
        <v>324</v>
      </c>
      <c r="R264" t="s">
        <v>224</v>
      </c>
      <c r="S264" t="s">
        <v>30</v>
      </c>
      <c r="T264" t="s">
        <v>30</v>
      </c>
      <c r="U264" t="s">
        <v>30</v>
      </c>
      <c r="V264" t="s">
        <v>31</v>
      </c>
    </row>
    <row r="265" spans="1:22" ht="12.75">
      <c r="A265">
        <v>2017</v>
      </c>
      <c r="B265" t="s">
        <v>46</v>
      </c>
      <c r="C265" t="s">
        <v>190</v>
      </c>
      <c r="D265">
        <f t="shared" si="12"/>
        <v>0</v>
      </c>
      <c r="E265" t="s">
        <v>93</v>
      </c>
      <c r="F265" t="s">
        <v>49</v>
      </c>
      <c r="G265" t="s">
        <v>325</v>
      </c>
      <c r="H265" t="s">
        <v>88</v>
      </c>
      <c r="I265">
        <v>2</v>
      </c>
      <c r="J265">
        <v>3100</v>
      </c>
      <c r="K265">
        <v>5800</v>
      </c>
      <c r="L265">
        <v>3000</v>
      </c>
      <c r="M265" t="s">
        <v>326</v>
      </c>
      <c r="N265" t="s">
        <v>52</v>
      </c>
      <c r="O265" t="s">
        <v>148</v>
      </c>
      <c r="P265" t="s">
        <v>74</v>
      </c>
      <c r="Q265" t="s">
        <v>324</v>
      </c>
      <c r="R265" t="s">
        <v>224</v>
      </c>
      <c r="S265" t="s">
        <v>31</v>
      </c>
      <c r="T265" t="s">
        <v>31</v>
      </c>
      <c r="U265" t="s">
        <v>30</v>
      </c>
      <c r="V265" t="s">
        <v>31</v>
      </c>
    </row>
    <row r="266" spans="1:22" ht="12.75">
      <c r="A266">
        <v>2017</v>
      </c>
      <c r="B266" t="s">
        <v>46</v>
      </c>
      <c r="C266" t="s">
        <v>190</v>
      </c>
      <c r="D266">
        <f t="shared" si="12"/>
        <v>0</v>
      </c>
      <c r="E266" t="s">
        <v>93</v>
      </c>
      <c r="F266" t="s">
        <v>49</v>
      </c>
      <c r="G266" t="s">
        <v>325</v>
      </c>
      <c r="H266" t="s">
        <v>88</v>
      </c>
      <c r="I266">
        <v>2</v>
      </c>
      <c r="J266">
        <v>3100</v>
      </c>
      <c r="K266">
        <v>5800</v>
      </c>
      <c r="L266">
        <v>3000</v>
      </c>
      <c r="M266" t="s">
        <v>326</v>
      </c>
      <c r="N266" t="s">
        <v>52</v>
      </c>
      <c r="O266" t="s">
        <v>53</v>
      </c>
      <c r="P266" t="s">
        <v>74</v>
      </c>
      <c r="Q266" t="s">
        <v>324</v>
      </c>
      <c r="R266" t="s">
        <v>224</v>
      </c>
      <c r="S266" t="s">
        <v>30</v>
      </c>
      <c r="T266" t="s">
        <v>30</v>
      </c>
      <c r="U266" t="s">
        <v>30</v>
      </c>
      <c r="V266" t="s">
        <v>31</v>
      </c>
    </row>
    <row r="267" spans="1:22" ht="12.75">
      <c r="A267">
        <v>2017</v>
      </c>
      <c r="B267" t="s">
        <v>124</v>
      </c>
      <c r="C267" t="s">
        <v>206</v>
      </c>
      <c r="D267">
        <f>HYPERLINK("https://www.amazon.com/exec/obidos/ASIN/B075JSK7TR","Pixelbook")</f>
        <v>0</v>
      </c>
      <c r="E267" t="s">
        <v>273</v>
      </c>
      <c r="F267" t="s">
        <v>280</v>
      </c>
      <c r="G267" t="s">
        <v>327</v>
      </c>
      <c r="H267" t="s">
        <v>286</v>
      </c>
      <c r="I267">
        <v>2</v>
      </c>
      <c r="J267">
        <v>3900</v>
      </c>
      <c r="K267">
        <v>7950</v>
      </c>
      <c r="L267">
        <v>4300</v>
      </c>
      <c r="M267">
        <v>31000</v>
      </c>
      <c r="N267" t="s">
        <v>98</v>
      </c>
      <c r="O267" t="s">
        <v>328</v>
      </c>
      <c r="P267" t="s">
        <v>74</v>
      </c>
      <c r="Q267" t="s">
        <v>56</v>
      </c>
      <c r="R267" t="s">
        <v>57</v>
      </c>
      <c r="S267" t="s">
        <v>30</v>
      </c>
      <c r="T267" t="s">
        <v>30</v>
      </c>
      <c r="U267" t="s">
        <v>30</v>
      </c>
      <c r="V267" t="s">
        <v>30</v>
      </c>
    </row>
    <row r="268" spans="1:22" ht="12.75">
      <c r="A268">
        <v>2017</v>
      </c>
      <c r="B268" t="s">
        <v>169</v>
      </c>
      <c r="C268" t="s">
        <v>206</v>
      </c>
      <c r="D268">
        <f>HYPERLINK("https://www.amazon.com/exec/obidos/ASIN/B075JLPLBL","Pixelbook")</f>
        <v>0</v>
      </c>
      <c r="E268" t="s">
        <v>273</v>
      </c>
      <c r="F268" t="s">
        <v>280</v>
      </c>
      <c r="G268" t="s">
        <v>329</v>
      </c>
      <c r="H268" t="s">
        <v>185</v>
      </c>
      <c r="I268">
        <v>2</v>
      </c>
      <c r="J268">
        <v>3763</v>
      </c>
      <c r="K268">
        <v>8700</v>
      </c>
      <c r="L268">
        <v>4700</v>
      </c>
      <c r="M268">
        <v>32400</v>
      </c>
      <c r="N268" t="s">
        <v>148</v>
      </c>
      <c r="O268" t="s">
        <v>330</v>
      </c>
      <c r="P268" t="s">
        <v>74</v>
      </c>
      <c r="Q268" t="s">
        <v>56</v>
      </c>
      <c r="R268" t="s">
        <v>57</v>
      </c>
      <c r="S268" t="s">
        <v>30</v>
      </c>
      <c r="T268" t="s">
        <v>30</v>
      </c>
      <c r="U268" t="s">
        <v>30</v>
      </c>
      <c r="V268" t="s">
        <v>30</v>
      </c>
    </row>
    <row r="269" spans="1:22" ht="12.75">
      <c r="A269">
        <v>2017</v>
      </c>
      <c r="B269" t="s">
        <v>121</v>
      </c>
      <c r="C269" t="s">
        <v>64</v>
      </c>
      <c r="D269">
        <f>HYPERLINK("https://www.amazon.com/exec/obidos/ASIN/B075JRY93Y","Chromebook x360 11 G1 (edu)")</f>
        <v>0</v>
      </c>
      <c r="E269" t="s">
        <v>48</v>
      </c>
      <c r="F269" t="s">
        <v>49</v>
      </c>
      <c r="G269" t="s">
        <v>174</v>
      </c>
      <c r="H269" t="s">
        <v>51</v>
      </c>
      <c r="I269">
        <v>2</v>
      </c>
      <c r="J269">
        <v>1144</v>
      </c>
      <c r="K269">
        <v>2900</v>
      </c>
      <c r="L269">
        <v>1650</v>
      </c>
      <c r="M269">
        <v>11000</v>
      </c>
      <c r="N269" t="s">
        <v>27</v>
      </c>
      <c r="O269" t="s">
        <v>28</v>
      </c>
      <c r="P269" t="s">
        <v>74</v>
      </c>
      <c r="Q269" t="s">
        <v>268</v>
      </c>
      <c r="R269" t="s">
        <v>269</v>
      </c>
      <c r="S269" t="s">
        <v>30</v>
      </c>
      <c r="T269" t="s">
        <v>30</v>
      </c>
      <c r="U269" t="s">
        <v>30</v>
      </c>
      <c r="V269" t="s">
        <v>30</v>
      </c>
    </row>
    <row r="270" spans="1:22" ht="12.75">
      <c r="A270">
        <v>2017</v>
      </c>
      <c r="B270" t="s">
        <v>121</v>
      </c>
      <c r="C270" t="s">
        <v>64</v>
      </c>
      <c r="D270">
        <f>HYPERLINK("https://store.hp.com/us/en/pdp/hp-chromebook-x360-11-g1-ee-p-2hw32ut-aba--1","Chromebook x360 11 G1 (edu)")</f>
        <v>0</v>
      </c>
      <c r="E270" t="s">
        <v>48</v>
      </c>
      <c r="F270" t="s">
        <v>49</v>
      </c>
      <c r="G270" t="s">
        <v>252</v>
      </c>
      <c r="H270" t="s">
        <v>51</v>
      </c>
      <c r="I270">
        <v>4</v>
      </c>
      <c r="J270">
        <v>1822</v>
      </c>
      <c r="K270">
        <v>4900</v>
      </c>
      <c r="L270">
        <v>1600</v>
      </c>
      <c r="M270" t="s">
        <v>171</v>
      </c>
      <c r="N270" t="s">
        <v>27</v>
      </c>
      <c r="O270" t="s">
        <v>28</v>
      </c>
      <c r="P270" t="s">
        <v>74</v>
      </c>
      <c r="Q270" t="s">
        <v>268</v>
      </c>
      <c r="R270" t="s">
        <v>269</v>
      </c>
      <c r="S270" t="s">
        <v>30</v>
      </c>
      <c r="T270" t="s">
        <v>30</v>
      </c>
      <c r="U270" t="s">
        <v>30</v>
      </c>
      <c r="V270" t="s">
        <v>30</v>
      </c>
    </row>
    <row r="271" spans="1:22" ht="12.75">
      <c r="A271">
        <v>2017</v>
      </c>
      <c r="B271" t="s">
        <v>121</v>
      </c>
      <c r="C271" t="s">
        <v>84</v>
      </c>
      <c r="D271">
        <f>HYPERLINK("https://www.amazon.com/exec/obidos/ASIN/B074MJHTRS","Flex 11 Chromebook")</f>
        <v>0</v>
      </c>
      <c r="E271" t="s">
        <v>48</v>
      </c>
      <c r="F271" t="s">
        <v>49</v>
      </c>
      <c r="G271" t="s">
        <v>170</v>
      </c>
      <c r="H271" t="s">
        <v>36</v>
      </c>
      <c r="I271">
        <v>4</v>
      </c>
      <c r="J271" t="s">
        <v>26</v>
      </c>
      <c r="K271">
        <v>2950</v>
      </c>
      <c r="L271">
        <v>1450</v>
      </c>
      <c r="M271">
        <v>10000</v>
      </c>
      <c r="N271" t="s">
        <v>52</v>
      </c>
      <c r="O271" t="s">
        <v>53</v>
      </c>
      <c r="P271" t="s">
        <v>74</v>
      </c>
      <c r="Q271" t="s">
        <v>229</v>
      </c>
      <c r="R271" t="s">
        <v>95</v>
      </c>
      <c r="S271" t="s">
        <v>30</v>
      </c>
      <c r="T271" t="s">
        <v>30</v>
      </c>
      <c r="U271" t="s">
        <v>30</v>
      </c>
      <c r="V271" t="s">
        <v>31</v>
      </c>
    </row>
    <row r="272" spans="1:22" ht="12.75">
      <c r="A272">
        <v>2017</v>
      </c>
      <c r="B272" t="s">
        <v>63</v>
      </c>
      <c r="C272" t="s">
        <v>84</v>
      </c>
      <c r="D272">
        <f>HYPERLINK("https://www.amazon.com/exec/obidos/ASIN/B01MUF1VWR","N23 Chromebook")</f>
        <v>0</v>
      </c>
      <c r="E272" t="s">
        <v>48</v>
      </c>
      <c r="F272" t="s">
        <v>49</v>
      </c>
      <c r="G272" t="s">
        <v>248</v>
      </c>
      <c r="H272" t="s">
        <v>43</v>
      </c>
      <c r="I272">
        <v>2</v>
      </c>
      <c r="J272">
        <v>1040</v>
      </c>
      <c r="K272">
        <v>2200</v>
      </c>
      <c r="L272">
        <v>1200</v>
      </c>
      <c r="M272" t="s">
        <v>249</v>
      </c>
      <c r="N272" t="s">
        <v>52</v>
      </c>
      <c r="O272" t="s">
        <v>73</v>
      </c>
      <c r="P272" t="s">
        <v>74</v>
      </c>
      <c r="Q272" t="s">
        <v>119</v>
      </c>
      <c r="R272" t="s">
        <v>120</v>
      </c>
      <c r="S272" t="s">
        <v>31</v>
      </c>
      <c r="T272" t="s">
        <v>31</v>
      </c>
      <c r="U272" t="s">
        <v>30</v>
      </c>
      <c r="V272" t="s">
        <v>31</v>
      </c>
    </row>
    <row r="273" spans="1:22" ht="12.75">
      <c r="A273">
        <v>2017</v>
      </c>
      <c r="B273" t="s">
        <v>46</v>
      </c>
      <c r="C273" t="s">
        <v>84</v>
      </c>
      <c r="D273">
        <f>HYPERLINK("https://www.amazon.co.uk/exec/obidos/ASIN/B06Y1NRDWC","N23 Chromebook")</f>
        <v>0</v>
      </c>
      <c r="E273" t="s">
        <v>48</v>
      </c>
      <c r="F273" t="s">
        <v>49</v>
      </c>
      <c r="G273" t="s">
        <v>302</v>
      </c>
      <c r="H273" t="s">
        <v>43</v>
      </c>
      <c r="I273">
        <v>4</v>
      </c>
      <c r="J273">
        <v>1470</v>
      </c>
      <c r="K273">
        <v>3450</v>
      </c>
      <c r="L273">
        <v>1150</v>
      </c>
      <c r="M273" t="s">
        <v>304</v>
      </c>
      <c r="N273" t="s">
        <v>52</v>
      </c>
      <c r="O273" t="s">
        <v>73</v>
      </c>
      <c r="P273" t="s">
        <v>74</v>
      </c>
      <c r="Q273" t="s">
        <v>119</v>
      </c>
      <c r="R273" t="s">
        <v>120</v>
      </c>
      <c r="S273" t="s">
        <v>31</v>
      </c>
      <c r="T273" t="s">
        <v>31</v>
      </c>
      <c r="U273" t="s">
        <v>30</v>
      </c>
      <c r="V273" t="s">
        <v>31</v>
      </c>
    </row>
    <row r="274" spans="1:22" ht="12.75">
      <c r="A274">
        <v>2017</v>
      </c>
      <c r="B274" t="s">
        <v>46</v>
      </c>
      <c r="C274" t="s">
        <v>84</v>
      </c>
      <c r="D274">
        <f>HYPERLINK("https://www.amazon.com/exec/obidos/ASIN/B06XTVPY93","N23 Chromebook")</f>
        <v>0</v>
      </c>
      <c r="E274" t="s">
        <v>48</v>
      </c>
      <c r="F274" t="s">
        <v>49</v>
      </c>
      <c r="G274" t="s">
        <v>248</v>
      </c>
      <c r="H274" t="s">
        <v>43</v>
      </c>
      <c r="I274">
        <v>2</v>
      </c>
      <c r="J274">
        <v>1040</v>
      </c>
      <c r="K274">
        <v>2200</v>
      </c>
      <c r="L274">
        <v>1200</v>
      </c>
      <c r="M274" t="s">
        <v>249</v>
      </c>
      <c r="N274" t="s">
        <v>52</v>
      </c>
      <c r="O274" t="s">
        <v>73</v>
      </c>
      <c r="P274" t="s">
        <v>74</v>
      </c>
      <c r="Q274" t="s">
        <v>119</v>
      </c>
      <c r="R274" t="s">
        <v>120</v>
      </c>
      <c r="S274" t="s">
        <v>30</v>
      </c>
      <c r="T274" t="s">
        <v>30</v>
      </c>
      <c r="U274" t="s">
        <v>30</v>
      </c>
      <c r="V274" t="s">
        <v>31</v>
      </c>
    </row>
    <row r="275" spans="1:22" ht="12.75">
      <c r="A275">
        <v>2017</v>
      </c>
      <c r="B275" t="s">
        <v>121</v>
      </c>
      <c r="C275" t="s">
        <v>84</v>
      </c>
      <c r="D275">
        <f>HYPERLINK("https://www.amazon.com/exec/obidos/ASIN/B06XXYVKVD","N23 Yoga Chromebook")</f>
        <v>0</v>
      </c>
      <c r="E275" t="s">
        <v>48</v>
      </c>
      <c r="F275" t="s">
        <v>49</v>
      </c>
      <c r="G275" t="s">
        <v>170</v>
      </c>
      <c r="H275" t="s">
        <v>36</v>
      </c>
      <c r="I275">
        <v>4</v>
      </c>
      <c r="J275" t="s">
        <v>26</v>
      </c>
      <c r="K275">
        <v>2950</v>
      </c>
      <c r="L275">
        <v>1450</v>
      </c>
      <c r="M275" t="s">
        <v>171</v>
      </c>
      <c r="N275" t="s">
        <v>52</v>
      </c>
      <c r="O275" t="s">
        <v>53</v>
      </c>
      <c r="P275" t="s">
        <v>74</v>
      </c>
      <c r="Q275" t="s">
        <v>229</v>
      </c>
      <c r="R275" t="s">
        <v>95</v>
      </c>
      <c r="S275" t="s">
        <v>30</v>
      </c>
      <c r="T275" t="s">
        <v>30</v>
      </c>
      <c r="U275" t="s">
        <v>30</v>
      </c>
      <c r="V275" t="s">
        <v>31</v>
      </c>
    </row>
    <row r="276" spans="1:22" ht="12.75">
      <c r="A276">
        <v>2017</v>
      </c>
      <c r="B276" t="s">
        <v>121</v>
      </c>
      <c r="C276" t="s">
        <v>84</v>
      </c>
      <c r="D276">
        <f>HYPERLINK("https://www.amazon.co.uk/exec/obidos/ASIN/B06ZZCM54K","N42 Chromebook")</f>
        <v>0</v>
      </c>
      <c r="E276" t="s">
        <v>33</v>
      </c>
      <c r="F276" t="s">
        <v>49</v>
      </c>
      <c r="G276" t="s">
        <v>302</v>
      </c>
      <c r="H276" t="s">
        <v>43</v>
      </c>
      <c r="I276">
        <v>4</v>
      </c>
      <c r="J276">
        <v>1470</v>
      </c>
      <c r="K276">
        <v>3450</v>
      </c>
      <c r="L276">
        <v>1150</v>
      </c>
      <c r="M276" t="s">
        <v>304</v>
      </c>
      <c r="N276" t="s">
        <v>52</v>
      </c>
      <c r="O276" t="s">
        <v>148</v>
      </c>
      <c r="P276" t="s">
        <v>157</v>
      </c>
      <c r="Q276" t="s">
        <v>331</v>
      </c>
      <c r="R276" t="s">
        <v>116</v>
      </c>
      <c r="S276" t="s">
        <v>31</v>
      </c>
      <c r="T276" t="s">
        <v>31</v>
      </c>
      <c r="U276" t="s">
        <v>30</v>
      </c>
      <c r="V276" t="s">
        <v>31</v>
      </c>
    </row>
    <row r="277" spans="1:22" ht="12.75">
      <c r="A277">
        <v>2017</v>
      </c>
      <c r="B277" t="s">
        <v>121</v>
      </c>
      <c r="C277" t="s">
        <v>84</v>
      </c>
      <c r="D277">
        <f>HYPERLINK("https://www.compusat.fi/lenovo-chromebook-n42-intel-n3710/cat-p/c/p9334801/l_en","N42 Chromebook")</f>
        <v>0</v>
      </c>
      <c r="E277" t="s">
        <v>33</v>
      </c>
      <c r="F277" t="s">
        <v>49</v>
      </c>
      <c r="G277" t="s">
        <v>332</v>
      </c>
      <c r="H277" t="s">
        <v>43</v>
      </c>
      <c r="I277">
        <v>4</v>
      </c>
      <c r="J277">
        <v>1862</v>
      </c>
      <c r="K277">
        <v>3800</v>
      </c>
      <c r="L277">
        <v>1250</v>
      </c>
      <c r="M277" t="s">
        <v>333</v>
      </c>
      <c r="N277" t="s">
        <v>52</v>
      </c>
      <c r="O277" t="s">
        <v>53</v>
      </c>
      <c r="P277" t="s">
        <v>157</v>
      </c>
      <c r="Q277" t="s">
        <v>331</v>
      </c>
      <c r="R277" t="s">
        <v>116</v>
      </c>
      <c r="S277" t="s">
        <v>31</v>
      </c>
      <c r="T277" t="s">
        <v>31</v>
      </c>
      <c r="U277" t="s">
        <v>30</v>
      </c>
      <c r="V277" t="s">
        <v>31</v>
      </c>
    </row>
    <row r="278" spans="1:22" ht="12.75">
      <c r="A278">
        <v>2017</v>
      </c>
      <c r="B278" t="s">
        <v>83</v>
      </c>
      <c r="C278" t="s">
        <v>84</v>
      </c>
      <c r="D278">
        <f>HYPERLINK("https://www.amazon.com/exec/obidos/ASIN/B07261PJT8","ThinkPad 11e (2017)")</f>
        <v>0</v>
      </c>
      <c r="E278" t="s">
        <v>48</v>
      </c>
      <c r="F278" t="s">
        <v>49</v>
      </c>
      <c r="G278" t="s">
        <v>252</v>
      </c>
      <c r="H278" t="s">
        <v>51</v>
      </c>
      <c r="I278">
        <v>4</v>
      </c>
      <c r="J278">
        <v>1822</v>
      </c>
      <c r="K278">
        <v>4900</v>
      </c>
      <c r="L278">
        <v>1600</v>
      </c>
      <c r="M278" t="s">
        <v>171</v>
      </c>
      <c r="N278" t="s">
        <v>27</v>
      </c>
      <c r="O278" t="s">
        <v>53</v>
      </c>
      <c r="P278" t="s">
        <v>74</v>
      </c>
      <c r="Q278" t="s">
        <v>331</v>
      </c>
      <c r="R278" t="s">
        <v>116</v>
      </c>
      <c r="S278" t="s">
        <v>31</v>
      </c>
      <c r="T278" t="s">
        <v>31</v>
      </c>
      <c r="U278" t="s">
        <v>30</v>
      </c>
      <c r="V278" t="s">
        <v>31</v>
      </c>
    </row>
    <row r="279" spans="1:22" ht="12.75">
      <c r="A279">
        <v>2017</v>
      </c>
      <c r="B279" t="s">
        <v>83</v>
      </c>
      <c r="C279" t="s">
        <v>84</v>
      </c>
      <c r="D279">
        <f>HYPERLINK("https://www3.lenovo.com/us/en/commercial-notebook/thinkpad-classic/thinkpad-x-series-2nd-gen/ThinkPad-Yoga-11e-Chromebook-4th-gen/p/22TP2TX153E","ThinkPad Yoga 11e (2017)")</f>
        <v>0</v>
      </c>
      <c r="E279" t="s">
        <v>48</v>
      </c>
      <c r="F279" t="s">
        <v>49</v>
      </c>
      <c r="G279" t="s">
        <v>252</v>
      </c>
      <c r="H279" t="s">
        <v>51</v>
      </c>
      <c r="I279">
        <v>4</v>
      </c>
      <c r="J279">
        <v>1822</v>
      </c>
      <c r="K279">
        <v>4900</v>
      </c>
      <c r="L279">
        <v>1600</v>
      </c>
      <c r="M279" t="s">
        <v>171</v>
      </c>
      <c r="N279" t="s">
        <v>27</v>
      </c>
      <c r="O279" t="s">
        <v>53</v>
      </c>
      <c r="P279" t="s">
        <v>74</v>
      </c>
      <c r="Q279" t="s">
        <v>334</v>
      </c>
      <c r="R279" t="s">
        <v>335</v>
      </c>
      <c r="S279" t="s">
        <v>30</v>
      </c>
      <c r="T279" t="s">
        <v>30</v>
      </c>
      <c r="U279" t="s">
        <v>30</v>
      </c>
      <c r="V279" t="s">
        <v>31</v>
      </c>
    </row>
    <row r="280" spans="1:22" ht="12.75">
      <c r="A280">
        <v>2017</v>
      </c>
      <c r="B280" t="s">
        <v>135</v>
      </c>
      <c r="C280" t="s">
        <v>84</v>
      </c>
      <c r="D280">
        <f>HYPERLINK("https://www.amazon.co.uk/exec/obidos/ASIN/B076ZXT2XQ","ThinkPad 13")</f>
        <v>0</v>
      </c>
      <c r="E280" t="s">
        <v>93</v>
      </c>
      <c r="F280" t="s">
        <v>34</v>
      </c>
      <c r="G280" t="s">
        <v>298</v>
      </c>
      <c r="H280" t="s">
        <v>138</v>
      </c>
      <c r="I280">
        <v>2</v>
      </c>
      <c r="J280">
        <v>3500</v>
      </c>
      <c r="K280">
        <v>6600</v>
      </c>
      <c r="L280">
        <v>3300</v>
      </c>
      <c r="M280" t="s">
        <v>299</v>
      </c>
      <c r="N280" t="s">
        <v>52</v>
      </c>
      <c r="O280" t="s">
        <v>148</v>
      </c>
      <c r="P280" t="s">
        <v>74</v>
      </c>
      <c r="Q280" t="s">
        <v>187</v>
      </c>
      <c r="R280" t="s">
        <v>111</v>
      </c>
      <c r="S280" t="s">
        <v>30</v>
      </c>
      <c r="T280" t="s">
        <v>31</v>
      </c>
      <c r="U280" t="s">
        <v>30</v>
      </c>
      <c r="V280" t="s">
        <v>31</v>
      </c>
    </row>
    <row r="281" spans="1:22" ht="12.75">
      <c r="A281">
        <v>2017</v>
      </c>
      <c r="B281" t="s">
        <v>121</v>
      </c>
      <c r="C281" t="s">
        <v>336</v>
      </c>
      <c r="D281">
        <f>HYPERLINK("https://www.takealot.com/mecer-xpression-v2-rockchip-rk3288-11-6-chromebook/PLID44748294","Xpression V2")</f>
        <v>0</v>
      </c>
      <c r="E281" t="s">
        <v>48</v>
      </c>
      <c r="F281" t="s">
        <v>49</v>
      </c>
      <c r="G281" t="s">
        <v>337</v>
      </c>
      <c r="H281" t="s">
        <v>45</v>
      </c>
      <c r="I281">
        <v>4</v>
      </c>
      <c r="J281" t="s">
        <v>26</v>
      </c>
      <c r="K281">
        <v>2950</v>
      </c>
      <c r="L281">
        <v>1050</v>
      </c>
      <c r="M281" t="s">
        <v>338</v>
      </c>
      <c r="N281" t="s">
        <v>339</v>
      </c>
      <c r="O281" t="s">
        <v>53</v>
      </c>
      <c r="P281" t="s">
        <v>74</v>
      </c>
      <c r="Q281" t="s">
        <v>115</v>
      </c>
      <c r="R281" t="s">
        <v>116</v>
      </c>
      <c r="S281" t="s">
        <v>31</v>
      </c>
      <c r="T281" t="s">
        <v>31</v>
      </c>
      <c r="U281" t="s">
        <v>30</v>
      </c>
      <c r="V281" t="s">
        <v>31</v>
      </c>
    </row>
    <row r="282" spans="1:22" ht="12.75">
      <c r="A282">
        <v>2017</v>
      </c>
      <c r="B282" t="s">
        <v>121</v>
      </c>
      <c r="C282" t="s">
        <v>340</v>
      </c>
      <c r="D282">
        <f>HYPERLINK("https://loja.meupositivo.com.br/chromebook/ch1190-quad-core-arm-chrome-os-11-6-preto","CH1190")</f>
        <v>0</v>
      </c>
      <c r="E282" t="s">
        <v>48</v>
      </c>
      <c r="F282" t="s">
        <v>49</v>
      </c>
      <c r="G282" t="s">
        <v>337</v>
      </c>
      <c r="H282" t="s">
        <v>45</v>
      </c>
      <c r="I282">
        <v>4</v>
      </c>
      <c r="J282" t="s">
        <v>26</v>
      </c>
      <c r="K282">
        <v>2950</v>
      </c>
      <c r="L282">
        <v>1050</v>
      </c>
      <c r="M282" t="s">
        <v>338</v>
      </c>
      <c r="N282" t="s">
        <v>339</v>
      </c>
      <c r="O282" t="s">
        <v>148</v>
      </c>
      <c r="P282" t="s">
        <v>341</v>
      </c>
      <c r="Q282" t="s">
        <v>342</v>
      </c>
      <c r="R282" t="s">
        <v>343</v>
      </c>
      <c r="S282" t="s">
        <v>31</v>
      </c>
      <c r="T282" t="s">
        <v>31</v>
      </c>
      <c r="U282" t="s">
        <v>30</v>
      </c>
      <c r="V282" t="s">
        <v>31</v>
      </c>
    </row>
    <row r="283" spans="1:22" ht="12.75">
      <c r="A283">
        <v>2017</v>
      </c>
      <c r="B283" t="s">
        <v>46</v>
      </c>
      <c r="C283" t="s">
        <v>96</v>
      </c>
      <c r="D283">
        <f>HYPERLINK("https://www.amazon.com/exec/obidos/ASIN/B073WQSB12","Chromebook 3 (2017)")</f>
        <v>0</v>
      </c>
      <c r="E283" t="s">
        <v>48</v>
      </c>
      <c r="F283" t="s">
        <v>49</v>
      </c>
      <c r="G283" t="s">
        <v>248</v>
      </c>
      <c r="H283" t="s">
        <v>43</v>
      </c>
      <c r="I283">
        <v>2</v>
      </c>
      <c r="J283">
        <v>1040</v>
      </c>
      <c r="K283">
        <v>2200</v>
      </c>
      <c r="L283">
        <v>1200</v>
      </c>
      <c r="M283" t="s">
        <v>249</v>
      </c>
      <c r="N283" t="s">
        <v>250</v>
      </c>
      <c r="O283" t="s">
        <v>73</v>
      </c>
      <c r="P283" t="s">
        <v>157</v>
      </c>
      <c r="Q283" t="s">
        <v>265</v>
      </c>
      <c r="R283" t="s">
        <v>266</v>
      </c>
      <c r="S283" t="s">
        <v>31</v>
      </c>
      <c r="T283" t="s">
        <v>31</v>
      </c>
      <c r="U283" t="s">
        <v>30</v>
      </c>
      <c r="V283" t="s">
        <v>31</v>
      </c>
    </row>
    <row r="284" spans="1:22" ht="12.75">
      <c r="A284">
        <v>2017</v>
      </c>
      <c r="B284" t="s">
        <v>63</v>
      </c>
      <c r="C284" t="s">
        <v>96</v>
      </c>
      <c r="D284">
        <f>HYPERLINK("https://www.amazon.com/exec/obidos/ASIN/B01LZ6XKS6","Chromebook Plus")</f>
        <v>0</v>
      </c>
      <c r="E284" t="s">
        <v>273</v>
      </c>
      <c r="F284" t="s">
        <v>280</v>
      </c>
      <c r="G284" t="s">
        <v>165</v>
      </c>
      <c r="H284" t="s">
        <v>43</v>
      </c>
      <c r="I284">
        <v>6</v>
      </c>
      <c r="J284" t="s">
        <v>26</v>
      </c>
      <c r="K284">
        <v>3900</v>
      </c>
      <c r="L284">
        <v>1600</v>
      </c>
      <c r="M284">
        <v>9700</v>
      </c>
      <c r="N284" t="s">
        <v>52</v>
      </c>
      <c r="O284" t="s">
        <v>53</v>
      </c>
      <c r="P284" t="s">
        <v>100</v>
      </c>
      <c r="Q284" t="s">
        <v>344</v>
      </c>
      <c r="R284" t="s">
        <v>345</v>
      </c>
      <c r="S284" t="s">
        <v>30</v>
      </c>
      <c r="T284" t="s">
        <v>30</v>
      </c>
      <c r="U284" t="s">
        <v>30</v>
      </c>
      <c r="V284" t="s">
        <v>30</v>
      </c>
    </row>
    <row r="285" spans="1:22" ht="12.75">
      <c r="A285">
        <v>2017</v>
      </c>
      <c r="B285" t="s">
        <v>83</v>
      </c>
      <c r="C285" t="s">
        <v>96</v>
      </c>
      <c r="D285">
        <f>HYPERLINK("https://www.amazon.com/exec/obidos/ASIN/B071LB1GG4","Chromebook Pro")</f>
        <v>0</v>
      </c>
      <c r="E285" t="s">
        <v>273</v>
      </c>
      <c r="F285" t="s">
        <v>280</v>
      </c>
      <c r="G285" t="s">
        <v>313</v>
      </c>
      <c r="H285" t="s">
        <v>314</v>
      </c>
      <c r="I285">
        <v>2</v>
      </c>
      <c r="J285">
        <v>3060</v>
      </c>
      <c r="K285">
        <v>5850</v>
      </c>
      <c r="L285">
        <v>3200</v>
      </c>
      <c r="M285">
        <v>22600</v>
      </c>
      <c r="N285" t="s">
        <v>52</v>
      </c>
      <c r="O285" t="s">
        <v>28</v>
      </c>
      <c r="P285" t="s">
        <v>100</v>
      </c>
      <c r="Q285" t="s">
        <v>344</v>
      </c>
      <c r="R285" t="s">
        <v>345</v>
      </c>
      <c r="S285" t="s">
        <v>30</v>
      </c>
      <c r="T285" t="s">
        <v>30</v>
      </c>
      <c r="U285" t="s">
        <v>30</v>
      </c>
      <c r="V285" t="s">
        <v>30</v>
      </c>
    </row>
    <row r="286" spans="1:22" ht="12.75">
      <c r="A286">
        <v>2016</v>
      </c>
      <c r="B286" t="s">
        <v>63</v>
      </c>
      <c r="C286" t="s">
        <v>23</v>
      </c>
      <c r="D286">
        <f>HYPERLINK("https://www.amazon.com/exec/obidos/ASIN/B019G7VPTC","Chromebook 11 (CB3-131)")</f>
        <v>0</v>
      </c>
      <c r="E286" t="s">
        <v>48</v>
      </c>
      <c r="F286" t="s">
        <v>49</v>
      </c>
      <c r="G286" t="s">
        <v>346</v>
      </c>
      <c r="H286" t="s">
        <v>347</v>
      </c>
      <c r="I286">
        <v>2</v>
      </c>
      <c r="J286">
        <v>1050</v>
      </c>
      <c r="K286">
        <v>2200</v>
      </c>
      <c r="L286">
        <v>1300</v>
      </c>
      <c r="M286" t="s">
        <v>348</v>
      </c>
      <c r="N286" t="s">
        <v>250</v>
      </c>
      <c r="O286" t="s">
        <v>73</v>
      </c>
      <c r="P286" t="s">
        <v>100</v>
      </c>
      <c r="Q286" t="s">
        <v>40</v>
      </c>
      <c r="R286" t="s">
        <v>41</v>
      </c>
      <c r="S286" t="s">
        <v>30</v>
      </c>
      <c r="T286" t="s">
        <v>31</v>
      </c>
      <c r="U286" t="s">
        <v>30</v>
      </c>
      <c r="V286" t="s">
        <v>31</v>
      </c>
    </row>
    <row r="287" spans="1:22" ht="12.75">
      <c r="A287">
        <v>2016</v>
      </c>
      <c r="B287" t="s">
        <v>121</v>
      </c>
      <c r="C287" t="s">
        <v>23</v>
      </c>
      <c r="D287">
        <f>HYPERLINK("https://www.amazon.com/exec/obidos/ASIN/B01EPZIJRQ","Chromebook 14 (CP5-471 'for Work')")</f>
        <v>0</v>
      </c>
      <c r="E287" t="s">
        <v>33</v>
      </c>
      <c r="F287" t="s">
        <v>49</v>
      </c>
      <c r="G287" t="s">
        <v>298</v>
      </c>
      <c r="H287" t="s">
        <v>138</v>
      </c>
      <c r="I287">
        <v>2</v>
      </c>
      <c r="J287">
        <v>3500</v>
      </c>
      <c r="K287">
        <v>6600</v>
      </c>
      <c r="L287">
        <v>3300</v>
      </c>
      <c r="M287">
        <v>23300</v>
      </c>
      <c r="N287" t="s">
        <v>52</v>
      </c>
      <c r="O287" t="s">
        <v>53</v>
      </c>
      <c r="P287" t="s">
        <v>29</v>
      </c>
      <c r="Q287" t="s">
        <v>187</v>
      </c>
      <c r="R287" t="s">
        <v>82</v>
      </c>
      <c r="S287" t="s">
        <v>31</v>
      </c>
      <c r="T287" t="s">
        <v>31</v>
      </c>
      <c r="U287" t="s">
        <v>30</v>
      </c>
      <c r="V287" t="s">
        <v>31</v>
      </c>
    </row>
    <row r="288" spans="1:22" ht="12.75">
      <c r="A288">
        <v>2016</v>
      </c>
      <c r="B288" t="s">
        <v>121</v>
      </c>
      <c r="C288" t="s">
        <v>23</v>
      </c>
      <c r="D288">
        <f>HYPERLINK("https://www.amazon.com/exec/obidos/ASIN/B01EPZIFQG","Chromebook 14 (CP5-471 'for Work')")</f>
        <v>0</v>
      </c>
      <c r="E288" t="s">
        <v>33</v>
      </c>
      <c r="F288" t="s">
        <v>49</v>
      </c>
      <c r="G288" t="s">
        <v>297</v>
      </c>
      <c r="H288" t="s">
        <v>43</v>
      </c>
      <c r="I288">
        <v>2</v>
      </c>
      <c r="J288">
        <v>1720</v>
      </c>
      <c r="K288">
        <v>3700</v>
      </c>
      <c r="L288">
        <v>2200</v>
      </c>
      <c r="M288">
        <v>15300</v>
      </c>
      <c r="N288" t="s">
        <v>52</v>
      </c>
      <c r="O288" t="s">
        <v>148</v>
      </c>
      <c r="P288" t="s">
        <v>29</v>
      </c>
      <c r="Q288" t="s">
        <v>187</v>
      </c>
      <c r="R288" t="s">
        <v>82</v>
      </c>
      <c r="S288" t="s">
        <v>31</v>
      </c>
      <c r="T288" t="s">
        <v>31</v>
      </c>
      <c r="U288" t="s">
        <v>30</v>
      </c>
      <c r="V288" t="s">
        <v>31</v>
      </c>
    </row>
    <row r="289" spans="1:22" ht="12.75">
      <c r="A289">
        <v>2016</v>
      </c>
      <c r="B289" t="s">
        <v>121</v>
      </c>
      <c r="C289" t="s">
        <v>23</v>
      </c>
      <c r="D289">
        <f>HYPERLINK("https://www.amazon.com/exec/obidos/ASIN/B01F8NNY0G","Chromebook 14 (CP5-471 'for Work')")</f>
        <v>0</v>
      </c>
      <c r="E289" t="s">
        <v>33</v>
      </c>
      <c r="F289" t="s">
        <v>34</v>
      </c>
      <c r="G289" t="s">
        <v>298</v>
      </c>
      <c r="H289" t="s">
        <v>138</v>
      </c>
      <c r="I289">
        <v>2</v>
      </c>
      <c r="J289">
        <v>3500</v>
      </c>
      <c r="K289">
        <v>6600</v>
      </c>
      <c r="L289">
        <v>3300</v>
      </c>
      <c r="M289">
        <v>23300</v>
      </c>
      <c r="N289" t="s">
        <v>98</v>
      </c>
      <c r="O289" t="s">
        <v>53</v>
      </c>
      <c r="P289" t="s">
        <v>29</v>
      </c>
      <c r="Q289" t="s">
        <v>187</v>
      </c>
      <c r="R289" t="s">
        <v>82</v>
      </c>
      <c r="S289" t="s">
        <v>30</v>
      </c>
      <c r="T289" t="s">
        <v>31</v>
      </c>
      <c r="U289" t="s">
        <v>30</v>
      </c>
      <c r="V289" t="s">
        <v>31</v>
      </c>
    </row>
    <row r="290" spans="1:22" ht="12.75">
      <c r="A290">
        <v>2016</v>
      </c>
      <c r="B290" t="s">
        <v>121</v>
      </c>
      <c r="C290" t="s">
        <v>23</v>
      </c>
      <c r="D290">
        <f>HYPERLINK("https://www.amazon.com/exec/obidos/ASIN/B01EPZIMD2","Chromebook 14 (CP5-471 'for Work')")</f>
        <v>0</v>
      </c>
      <c r="E290" t="s">
        <v>33</v>
      </c>
      <c r="F290" t="s">
        <v>34</v>
      </c>
      <c r="G290" t="s">
        <v>300</v>
      </c>
      <c r="H290" t="s">
        <v>138</v>
      </c>
      <c r="I290">
        <v>2</v>
      </c>
      <c r="J290">
        <v>3960</v>
      </c>
      <c r="K290">
        <v>7550</v>
      </c>
      <c r="L290">
        <v>3950</v>
      </c>
      <c r="M290">
        <v>28300</v>
      </c>
      <c r="N290" t="s">
        <v>98</v>
      </c>
      <c r="O290" t="s">
        <v>53</v>
      </c>
      <c r="P290" t="s">
        <v>74</v>
      </c>
      <c r="Q290" t="s">
        <v>187</v>
      </c>
      <c r="R290" t="s">
        <v>82</v>
      </c>
      <c r="S290" t="s">
        <v>30</v>
      </c>
      <c r="T290" t="s">
        <v>31</v>
      </c>
      <c r="U290" t="s">
        <v>30</v>
      </c>
      <c r="V290" t="s">
        <v>31</v>
      </c>
    </row>
    <row r="291" spans="1:22" ht="12.75">
      <c r="A291">
        <v>2016</v>
      </c>
      <c r="B291" t="s">
        <v>121</v>
      </c>
      <c r="C291" t="s">
        <v>23</v>
      </c>
      <c r="D291">
        <f>HYPERLINK("https://www.amazon.com/exec/obidos/ASIN/B01CVOLVPA","Chromebook 14")</f>
        <v>0</v>
      </c>
      <c r="E291" t="s">
        <v>33</v>
      </c>
      <c r="F291" t="s">
        <v>34</v>
      </c>
      <c r="G291" t="s">
        <v>302</v>
      </c>
      <c r="H291" t="s">
        <v>43</v>
      </c>
      <c r="I291">
        <v>4</v>
      </c>
      <c r="J291">
        <v>1470</v>
      </c>
      <c r="K291">
        <v>3450</v>
      </c>
      <c r="L291">
        <v>1150</v>
      </c>
      <c r="M291">
        <v>8000</v>
      </c>
      <c r="N291" t="s">
        <v>52</v>
      </c>
      <c r="O291" t="s">
        <v>53</v>
      </c>
      <c r="P291" t="s">
        <v>29</v>
      </c>
      <c r="Q291" t="s">
        <v>215</v>
      </c>
      <c r="R291" t="s">
        <v>78</v>
      </c>
      <c r="S291" t="s">
        <v>30</v>
      </c>
      <c r="T291" t="s">
        <v>31</v>
      </c>
      <c r="U291" t="s">
        <v>30</v>
      </c>
      <c r="V291" t="s">
        <v>31</v>
      </c>
    </row>
    <row r="292" spans="1:22" ht="12.75">
      <c r="A292">
        <v>2016</v>
      </c>
      <c r="B292" t="s">
        <v>135</v>
      </c>
      <c r="C292" t="s">
        <v>23</v>
      </c>
      <c r="D292">
        <f>HYPERLINK("https://www.acer.com/ac/en/CA/content/model/NX.GC2AA.009","Chromebook 14")</f>
        <v>0</v>
      </c>
      <c r="E292" t="s">
        <v>33</v>
      </c>
      <c r="F292" t="s">
        <v>49</v>
      </c>
      <c r="G292" t="s">
        <v>302</v>
      </c>
      <c r="H292" t="s">
        <v>43</v>
      </c>
      <c r="I292">
        <v>4</v>
      </c>
      <c r="J292">
        <v>1470</v>
      </c>
      <c r="K292">
        <v>3450</v>
      </c>
      <c r="L292">
        <v>1150</v>
      </c>
      <c r="M292">
        <v>8000</v>
      </c>
      <c r="N292" t="s">
        <v>52</v>
      </c>
      <c r="O292" t="s">
        <v>148</v>
      </c>
      <c r="P292" t="s">
        <v>173</v>
      </c>
      <c r="Q292" t="s">
        <v>215</v>
      </c>
      <c r="R292" t="s">
        <v>78</v>
      </c>
      <c r="S292" t="s">
        <v>31</v>
      </c>
      <c r="T292" t="s">
        <v>31</v>
      </c>
      <c r="U292" t="s">
        <v>30</v>
      </c>
      <c r="V292" t="s">
        <v>31</v>
      </c>
    </row>
    <row r="293" spans="1:22" ht="12.75">
      <c r="A293">
        <v>2016</v>
      </c>
      <c r="B293" t="s">
        <v>135</v>
      </c>
      <c r="C293" t="s">
        <v>23</v>
      </c>
      <c r="D293">
        <f>HYPERLINK("https://www.amazon.co.uk/exec/obidos/ASIN/B01J3UVNUS","Chromebook 14")</f>
        <v>0</v>
      </c>
      <c r="E293" t="s">
        <v>33</v>
      </c>
      <c r="F293" t="s">
        <v>49</v>
      </c>
      <c r="G293" t="s">
        <v>248</v>
      </c>
      <c r="H293" t="s">
        <v>43</v>
      </c>
      <c r="I293">
        <v>2</v>
      </c>
      <c r="J293">
        <v>1040</v>
      </c>
      <c r="K293">
        <v>2200</v>
      </c>
      <c r="L293">
        <v>1200</v>
      </c>
      <c r="M293" t="s">
        <v>249</v>
      </c>
      <c r="N293" t="s">
        <v>250</v>
      </c>
      <c r="O293" t="s">
        <v>73</v>
      </c>
      <c r="P293" t="s">
        <v>29</v>
      </c>
      <c r="Q293" t="s">
        <v>230</v>
      </c>
      <c r="R293" t="s">
        <v>231</v>
      </c>
      <c r="S293" t="s">
        <v>31</v>
      </c>
      <c r="T293" t="s">
        <v>31</v>
      </c>
      <c r="U293" t="s">
        <v>30</v>
      </c>
      <c r="V293" t="s">
        <v>31</v>
      </c>
    </row>
    <row r="294" spans="1:22" ht="12.75">
      <c r="A294">
        <v>2016</v>
      </c>
      <c r="B294" t="s">
        <v>124</v>
      </c>
      <c r="C294" t="s">
        <v>23</v>
      </c>
      <c r="D294">
        <f>HYPERLINK("https://www.amazon.com/exec/obidos/ASIN/B01LXYG77O","Chromebook R13")</f>
        <v>0</v>
      </c>
      <c r="E294" t="s">
        <v>93</v>
      </c>
      <c r="F294" t="s">
        <v>34</v>
      </c>
      <c r="G294" t="s">
        <v>170</v>
      </c>
      <c r="H294" t="s">
        <v>36</v>
      </c>
      <c r="I294">
        <v>4</v>
      </c>
      <c r="J294" t="s">
        <v>26</v>
      </c>
      <c r="K294">
        <v>2950</v>
      </c>
      <c r="L294">
        <v>1450</v>
      </c>
      <c r="M294">
        <v>9900</v>
      </c>
      <c r="N294" t="s">
        <v>52</v>
      </c>
      <c r="O294" t="s">
        <v>66</v>
      </c>
      <c r="P294" t="s">
        <v>29</v>
      </c>
      <c r="Q294" t="s">
        <v>349</v>
      </c>
      <c r="R294" t="s">
        <v>350</v>
      </c>
      <c r="S294" t="s">
        <v>30</v>
      </c>
      <c r="T294" t="s">
        <v>30</v>
      </c>
      <c r="U294" t="s">
        <v>30</v>
      </c>
      <c r="V294" t="s">
        <v>31</v>
      </c>
    </row>
    <row r="295" spans="1:22" ht="12.75">
      <c r="A295">
        <v>2016</v>
      </c>
      <c r="B295" t="s">
        <v>46</v>
      </c>
      <c r="C295" t="s">
        <v>32</v>
      </c>
      <c r="D295">
        <f>HYPERLINK("https://www.amazon.com/exec/obidos/ASIN/B01DBGVB7K","C202SA")</f>
        <v>0</v>
      </c>
      <c r="E295" t="s">
        <v>48</v>
      </c>
      <c r="F295" t="s">
        <v>49</v>
      </c>
      <c r="G295" t="s">
        <v>248</v>
      </c>
      <c r="H295" t="s">
        <v>43</v>
      </c>
      <c r="I295">
        <v>2</v>
      </c>
      <c r="J295">
        <v>1040</v>
      </c>
      <c r="K295">
        <v>2200</v>
      </c>
      <c r="L295">
        <v>1200</v>
      </c>
      <c r="M295" t="s">
        <v>249</v>
      </c>
      <c r="N295" t="s">
        <v>250</v>
      </c>
      <c r="O295" t="s">
        <v>148</v>
      </c>
      <c r="P295" t="s">
        <v>74</v>
      </c>
      <c r="Q295" t="s">
        <v>153</v>
      </c>
      <c r="R295" t="s">
        <v>154</v>
      </c>
      <c r="S295" t="s">
        <v>31</v>
      </c>
      <c r="T295" t="s">
        <v>31</v>
      </c>
      <c r="U295" t="s">
        <v>30</v>
      </c>
      <c r="V295" t="s">
        <v>31</v>
      </c>
    </row>
    <row r="296" spans="1:22" ht="12.75">
      <c r="A296">
        <v>2016</v>
      </c>
      <c r="B296" t="s">
        <v>121</v>
      </c>
      <c r="C296" t="s">
        <v>32</v>
      </c>
      <c r="D296">
        <f>HYPERLINK("https://www.amazon.com/exec/obidos/ASIN/B01DZ4NJFK","C300SA")</f>
        <v>0</v>
      </c>
      <c r="E296" t="s">
        <v>93</v>
      </c>
      <c r="F296" t="s">
        <v>49</v>
      </c>
      <c r="G296" t="s">
        <v>248</v>
      </c>
      <c r="H296" t="s">
        <v>43</v>
      </c>
      <c r="I296">
        <v>2</v>
      </c>
      <c r="J296">
        <v>1040</v>
      </c>
      <c r="K296">
        <v>2200</v>
      </c>
      <c r="L296">
        <v>1200</v>
      </c>
      <c r="M296" t="s">
        <v>249</v>
      </c>
      <c r="N296" t="s">
        <v>52</v>
      </c>
      <c r="O296" t="s">
        <v>148</v>
      </c>
      <c r="P296" t="s">
        <v>74</v>
      </c>
      <c r="Q296" t="s">
        <v>191</v>
      </c>
      <c r="R296" t="s">
        <v>111</v>
      </c>
      <c r="S296" t="s">
        <v>31</v>
      </c>
      <c r="T296" t="s">
        <v>31</v>
      </c>
      <c r="U296" t="s">
        <v>30</v>
      </c>
      <c r="V296" t="s">
        <v>31</v>
      </c>
    </row>
    <row r="297" spans="1:22" ht="12.75">
      <c r="A297">
        <v>2016</v>
      </c>
      <c r="B297" t="s">
        <v>136</v>
      </c>
      <c r="C297" t="s">
        <v>32</v>
      </c>
      <c r="D297">
        <f>HYPERLINK("https://www.amazon.com/exec/obidos/ASIN/B01INVHL2C","C301SA")</f>
        <v>0</v>
      </c>
      <c r="E297" t="s">
        <v>93</v>
      </c>
      <c r="F297" t="s">
        <v>34</v>
      </c>
      <c r="G297" t="s">
        <v>302</v>
      </c>
      <c r="H297" t="s">
        <v>43</v>
      </c>
      <c r="I297">
        <v>4</v>
      </c>
      <c r="J297">
        <v>1470</v>
      </c>
      <c r="K297">
        <v>3450</v>
      </c>
      <c r="L297">
        <v>1150</v>
      </c>
      <c r="M297">
        <v>8200</v>
      </c>
      <c r="N297" t="s">
        <v>52</v>
      </c>
      <c r="O297" t="s">
        <v>79</v>
      </c>
      <c r="P297" t="s">
        <v>157</v>
      </c>
      <c r="Q297" t="s">
        <v>229</v>
      </c>
      <c r="R297" t="s">
        <v>95</v>
      </c>
      <c r="S297" t="s">
        <v>31</v>
      </c>
      <c r="T297" t="s">
        <v>31</v>
      </c>
      <c r="U297" t="s">
        <v>30</v>
      </c>
      <c r="V297" t="s">
        <v>31</v>
      </c>
    </row>
    <row r="298" spans="1:22" ht="12.75">
      <c r="A298">
        <v>2016</v>
      </c>
      <c r="B298" t="s">
        <v>92</v>
      </c>
      <c r="C298" t="s">
        <v>47</v>
      </c>
      <c r="D298">
        <f>HYPERLINK("https://www.amazon.com/exec/obidos/ASIN/B01KPF0OJG","J5 Flip/Touch")</f>
        <v>0</v>
      </c>
      <c r="E298" t="s">
        <v>48</v>
      </c>
      <c r="F298" t="s">
        <v>49</v>
      </c>
      <c r="G298" t="s">
        <v>248</v>
      </c>
      <c r="H298" t="s">
        <v>43</v>
      </c>
      <c r="I298">
        <v>2</v>
      </c>
      <c r="J298">
        <v>1040</v>
      </c>
      <c r="K298">
        <v>2200</v>
      </c>
      <c r="L298">
        <v>1200</v>
      </c>
      <c r="M298">
        <v>8800</v>
      </c>
      <c r="N298" t="s">
        <v>52</v>
      </c>
      <c r="O298" t="s">
        <v>53</v>
      </c>
      <c r="P298" t="s">
        <v>74</v>
      </c>
      <c r="Q298" t="s">
        <v>334</v>
      </c>
      <c r="R298" t="s">
        <v>335</v>
      </c>
      <c r="S298" t="s">
        <v>30</v>
      </c>
      <c r="T298" t="s">
        <v>30</v>
      </c>
      <c r="U298" t="s">
        <v>30</v>
      </c>
      <c r="V298" t="s">
        <v>31</v>
      </c>
    </row>
    <row r="299" spans="1:22" ht="12.75">
      <c r="A299">
        <v>2016</v>
      </c>
      <c r="B299" t="s">
        <v>135</v>
      </c>
      <c r="C299" t="s">
        <v>47</v>
      </c>
      <c r="D299">
        <f>HYPERLINK("http://ctl.net/laptops/ctl-education-chromebook","NL61")</f>
        <v>0</v>
      </c>
      <c r="E299" t="s">
        <v>48</v>
      </c>
      <c r="F299" t="s">
        <v>49</v>
      </c>
      <c r="G299" t="s">
        <v>302</v>
      </c>
      <c r="H299" t="s">
        <v>43</v>
      </c>
      <c r="I299">
        <v>4</v>
      </c>
      <c r="J299">
        <v>1470</v>
      </c>
      <c r="K299">
        <v>3450</v>
      </c>
      <c r="L299">
        <v>1150</v>
      </c>
      <c r="M299">
        <v>8200</v>
      </c>
      <c r="N299" t="s">
        <v>52</v>
      </c>
      <c r="O299" t="s">
        <v>53</v>
      </c>
      <c r="P299" t="s">
        <v>173</v>
      </c>
      <c r="Q299" t="s">
        <v>351</v>
      </c>
      <c r="R299" t="s">
        <v>352</v>
      </c>
      <c r="S299" t="s">
        <v>31</v>
      </c>
      <c r="T299" t="s">
        <v>31</v>
      </c>
      <c r="U299" t="s">
        <v>30</v>
      </c>
      <c r="V299" t="s">
        <v>31</v>
      </c>
    </row>
    <row r="300" spans="1:22" ht="12.75">
      <c r="A300">
        <v>2016</v>
      </c>
      <c r="B300" t="s">
        <v>112</v>
      </c>
      <c r="C300" t="s">
        <v>47</v>
      </c>
      <c r="D300">
        <f>HYPERLINK("http://ctl.net/chromebooks/ctl-nl61t-education-chromebook-with-touchscreen","NL61T")</f>
        <v>0</v>
      </c>
      <c r="E300" t="s">
        <v>48</v>
      </c>
      <c r="F300" t="s">
        <v>49</v>
      </c>
      <c r="G300" t="s">
        <v>302</v>
      </c>
      <c r="H300" t="s">
        <v>43</v>
      </c>
      <c r="I300">
        <v>4</v>
      </c>
      <c r="J300">
        <v>1470</v>
      </c>
      <c r="K300">
        <v>3450</v>
      </c>
      <c r="L300">
        <v>1150</v>
      </c>
      <c r="M300">
        <v>8200</v>
      </c>
      <c r="N300" t="s">
        <v>52</v>
      </c>
      <c r="O300" t="s">
        <v>53</v>
      </c>
      <c r="P300" t="s">
        <v>173</v>
      </c>
      <c r="Q300" t="s">
        <v>351</v>
      </c>
      <c r="R300" t="s">
        <v>352</v>
      </c>
      <c r="S300" t="s">
        <v>30</v>
      </c>
      <c r="T300" t="s">
        <v>30</v>
      </c>
      <c r="U300" t="s">
        <v>30</v>
      </c>
      <c r="V300" t="s">
        <v>31</v>
      </c>
    </row>
    <row r="301" spans="1:22" ht="12.75">
      <c r="A301">
        <v>2016</v>
      </c>
      <c r="B301" t="s">
        <v>92</v>
      </c>
      <c r="C301" t="s">
        <v>190</v>
      </c>
      <c r="D301">
        <f>HYPERLINK("http://www.dell.com/en-us/work/shop/cty/dell-chromebook-13/spd/chromebook-13-7310","Chromebook 13")</f>
        <v>0</v>
      </c>
      <c r="E301" t="s">
        <v>93</v>
      </c>
      <c r="F301" t="s">
        <v>34</v>
      </c>
      <c r="G301" t="s">
        <v>353</v>
      </c>
      <c r="H301" t="s">
        <v>107</v>
      </c>
      <c r="I301">
        <v>2</v>
      </c>
      <c r="J301">
        <v>1830</v>
      </c>
      <c r="K301">
        <v>3750</v>
      </c>
      <c r="L301">
        <v>2200</v>
      </c>
      <c r="M301" t="s">
        <v>354</v>
      </c>
      <c r="N301" t="s">
        <v>52</v>
      </c>
      <c r="O301" t="s">
        <v>148</v>
      </c>
      <c r="P301" t="s">
        <v>29</v>
      </c>
      <c r="Q301" t="s">
        <v>182</v>
      </c>
      <c r="R301" t="s">
        <v>213</v>
      </c>
      <c r="S301" t="s">
        <v>30</v>
      </c>
      <c r="T301" t="s">
        <v>31</v>
      </c>
      <c r="U301" t="s">
        <v>30</v>
      </c>
      <c r="V301" t="s">
        <v>31</v>
      </c>
    </row>
    <row r="302" spans="1:22" ht="12.75">
      <c r="A302">
        <v>2016</v>
      </c>
      <c r="B302" t="s">
        <v>135</v>
      </c>
      <c r="C302" t="s">
        <v>355</v>
      </c>
      <c r="D302">
        <f>HYPERLINK("https://web.archive.org/web/20180823075025/https://www.edxis.com","Chromebook Plus")</f>
        <v>0</v>
      </c>
      <c r="E302" t="s">
        <v>48</v>
      </c>
      <c r="F302" t="s">
        <v>49</v>
      </c>
      <c r="G302" t="s">
        <v>302</v>
      </c>
      <c r="H302" t="s">
        <v>43</v>
      </c>
      <c r="I302">
        <v>4</v>
      </c>
      <c r="J302">
        <v>1470</v>
      </c>
      <c r="K302">
        <v>3450</v>
      </c>
      <c r="L302">
        <v>1150</v>
      </c>
      <c r="M302" t="s">
        <v>356</v>
      </c>
      <c r="N302" t="s">
        <v>52</v>
      </c>
      <c r="O302" t="s">
        <v>53</v>
      </c>
      <c r="P302" t="s">
        <v>74</v>
      </c>
      <c r="Q302" t="s">
        <v>26</v>
      </c>
      <c r="R302" t="s">
        <v>26</v>
      </c>
      <c r="S302" t="s">
        <v>31</v>
      </c>
      <c r="T302" t="s">
        <v>31</v>
      </c>
      <c r="U302" t="s">
        <v>30</v>
      </c>
      <c r="V302" t="s">
        <v>31</v>
      </c>
    </row>
    <row r="303" spans="1:22" ht="12.75">
      <c r="A303">
        <v>2016</v>
      </c>
      <c r="B303" t="s">
        <v>112</v>
      </c>
      <c r="C303" t="s">
        <v>355</v>
      </c>
      <c r="D303">
        <f>HYPERLINK("https://web.archive.org/web/20180823075025/https://www.edxis.com","Chromebook Touch")</f>
        <v>0</v>
      </c>
      <c r="E303" t="s">
        <v>48</v>
      </c>
      <c r="F303" t="s">
        <v>49</v>
      </c>
      <c r="G303" t="s">
        <v>302</v>
      </c>
      <c r="H303" t="s">
        <v>43</v>
      </c>
      <c r="I303">
        <v>4</v>
      </c>
      <c r="J303">
        <v>1470</v>
      </c>
      <c r="K303">
        <v>3450</v>
      </c>
      <c r="L303">
        <v>1150</v>
      </c>
      <c r="M303" t="s">
        <v>356</v>
      </c>
      <c r="N303" t="s">
        <v>52</v>
      </c>
      <c r="O303" t="s">
        <v>53</v>
      </c>
      <c r="P303" t="s">
        <v>74</v>
      </c>
      <c r="Q303" t="s">
        <v>26</v>
      </c>
      <c r="R303" t="s">
        <v>26</v>
      </c>
      <c r="S303" t="s">
        <v>30</v>
      </c>
      <c r="T303" t="s">
        <v>30</v>
      </c>
      <c r="U303" t="s">
        <v>30</v>
      </c>
      <c r="V303" t="s">
        <v>31</v>
      </c>
    </row>
    <row r="304" spans="1:22" ht="12.75">
      <c r="A304">
        <v>2016</v>
      </c>
      <c r="B304" t="s">
        <v>169</v>
      </c>
      <c r="C304" t="s">
        <v>357</v>
      </c>
      <c r="D304">
        <f>HYPERLINK("https://web.archive.org/web/20190208155236/https://epiklearning.com/product/11-6-chromebook/","Teqnio Chromebook")</f>
        <v>0</v>
      </c>
      <c r="E304" t="s">
        <v>48</v>
      </c>
      <c r="F304" t="s">
        <v>49</v>
      </c>
      <c r="G304" t="s">
        <v>337</v>
      </c>
      <c r="H304" t="s">
        <v>45</v>
      </c>
      <c r="I304">
        <v>4</v>
      </c>
      <c r="J304" t="s">
        <v>26</v>
      </c>
      <c r="K304">
        <v>2950</v>
      </c>
      <c r="L304">
        <v>1050</v>
      </c>
      <c r="M304" t="s">
        <v>338</v>
      </c>
      <c r="N304" t="s">
        <v>52</v>
      </c>
      <c r="O304" t="s">
        <v>53</v>
      </c>
      <c r="P304" t="s">
        <v>251</v>
      </c>
      <c r="Q304" t="s">
        <v>56</v>
      </c>
      <c r="R304" t="s">
        <v>57</v>
      </c>
      <c r="S304" t="s">
        <v>31</v>
      </c>
      <c r="T304" t="s">
        <v>31</v>
      </c>
      <c r="U304" t="s">
        <v>358</v>
      </c>
      <c r="V304" t="s">
        <v>31</v>
      </c>
    </row>
    <row r="305" spans="1:22" ht="12.75">
      <c r="A305">
        <v>2016</v>
      </c>
      <c r="B305" t="s">
        <v>63</v>
      </c>
      <c r="C305" t="s">
        <v>64</v>
      </c>
      <c r="D305">
        <f>HYPERLINK("https://www.amazon.com/exec/obidos/ASIN/B01B3JEBFQ","Chromebook 11 G4 (Education Edition)")</f>
        <v>0</v>
      </c>
      <c r="E305" t="s">
        <v>48</v>
      </c>
      <c r="F305" t="s">
        <v>49</v>
      </c>
      <c r="G305" t="s">
        <v>346</v>
      </c>
      <c r="H305" t="s">
        <v>347</v>
      </c>
      <c r="I305">
        <v>2</v>
      </c>
      <c r="J305">
        <v>1050</v>
      </c>
      <c r="K305">
        <v>2200</v>
      </c>
      <c r="L305">
        <v>1300</v>
      </c>
      <c r="M305" t="s">
        <v>348</v>
      </c>
      <c r="N305" t="s">
        <v>250</v>
      </c>
      <c r="O305" t="s">
        <v>28</v>
      </c>
      <c r="P305" t="s">
        <v>179</v>
      </c>
      <c r="Q305" t="s">
        <v>359</v>
      </c>
      <c r="R305" t="s">
        <v>233</v>
      </c>
      <c r="S305" t="s">
        <v>30</v>
      </c>
      <c r="T305" t="s">
        <v>31</v>
      </c>
      <c r="U305" t="s">
        <v>30</v>
      </c>
      <c r="V305" t="s">
        <v>31</v>
      </c>
    </row>
    <row r="306" spans="1:22" ht="12.75">
      <c r="A306">
        <v>2016</v>
      </c>
      <c r="B306" t="s">
        <v>135</v>
      </c>
      <c r="C306" t="s">
        <v>64</v>
      </c>
      <c r="D306">
        <f>HYPERLINK("https://www.amazon.com/exec/obidos/ASIN/B01KWCIC8C","Chromebook 11 G5")</f>
        <v>0</v>
      </c>
      <c r="E306" t="s">
        <v>48</v>
      </c>
      <c r="F306" t="s">
        <v>49</v>
      </c>
      <c r="G306" t="s">
        <v>248</v>
      </c>
      <c r="H306" t="s">
        <v>43</v>
      </c>
      <c r="I306">
        <v>2</v>
      </c>
      <c r="J306">
        <v>1040</v>
      </c>
      <c r="K306">
        <v>2200</v>
      </c>
      <c r="L306">
        <v>1200</v>
      </c>
      <c r="M306" t="s">
        <v>249</v>
      </c>
      <c r="N306" t="s">
        <v>250</v>
      </c>
      <c r="O306" t="s">
        <v>73</v>
      </c>
      <c r="P306" t="s">
        <v>29</v>
      </c>
      <c r="Q306" t="s">
        <v>360</v>
      </c>
      <c r="R306" t="s">
        <v>361</v>
      </c>
      <c r="S306" t="s">
        <v>31</v>
      </c>
      <c r="T306" t="s">
        <v>31</v>
      </c>
      <c r="U306" t="s">
        <v>30</v>
      </c>
      <c r="V306" t="s">
        <v>31</v>
      </c>
    </row>
    <row r="307" spans="1:22" ht="12.75">
      <c r="A307">
        <v>2016</v>
      </c>
      <c r="B307" t="s">
        <v>135</v>
      </c>
      <c r="C307" t="s">
        <v>64</v>
      </c>
      <c r="D307">
        <f>HYPERLINK("https://www.amazon.com/exec/obidos/ASIN/B01LCT3XX8","Chromebook 11 G5")</f>
        <v>0</v>
      </c>
      <c r="E307" t="s">
        <v>48</v>
      </c>
      <c r="F307" t="s">
        <v>49</v>
      </c>
      <c r="G307" t="s">
        <v>248</v>
      </c>
      <c r="H307" t="s">
        <v>43</v>
      </c>
      <c r="I307">
        <v>2</v>
      </c>
      <c r="J307">
        <v>1040</v>
      </c>
      <c r="K307">
        <v>2200</v>
      </c>
      <c r="L307">
        <v>1200</v>
      </c>
      <c r="M307" t="s">
        <v>249</v>
      </c>
      <c r="N307" t="s">
        <v>250</v>
      </c>
      <c r="O307" t="s">
        <v>73</v>
      </c>
      <c r="P307" t="s">
        <v>157</v>
      </c>
      <c r="Q307" t="s">
        <v>362</v>
      </c>
      <c r="R307" t="s">
        <v>363</v>
      </c>
      <c r="S307" t="s">
        <v>30</v>
      </c>
      <c r="T307" t="s">
        <v>30</v>
      </c>
      <c r="U307" t="s">
        <v>30</v>
      </c>
      <c r="V307" t="s">
        <v>31</v>
      </c>
    </row>
    <row r="308" spans="1:22" ht="12.75">
      <c r="A308">
        <v>2016</v>
      </c>
      <c r="B308" t="s">
        <v>83</v>
      </c>
      <c r="C308" t="s">
        <v>64</v>
      </c>
      <c r="D308">
        <f>HYPERLINK("https://www.amazon.com/exec/obidos/ASIN/B01FV2B0IW","Chromebook 13 G1")</f>
        <v>0</v>
      </c>
      <c r="E308" t="s">
        <v>93</v>
      </c>
      <c r="F308" t="s">
        <v>364</v>
      </c>
      <c r="G308" t="s">
        <v>320</v>
      </c>
      <c r="H308" t="s">
        <v>209</v>
      </c>
      <c r="I308">
        <v>2</v>
      </c>
      <c r="J308">
        <v>2260</v>
      </c>
      <c r="K308">
        <v>3850</v>
      </c>
      <c r="L308">
        <v>1950</v>
      </c>
      <c r="M308">
        <v>14800</v>
      </c>
      <c r="N308" t="s">
        <v>52</v>
      </c>
      <c r="O308" t="s">
        <v>53</v>
      </c>
      <c r="P308" t="s">
        <v>251</v>
      </c>
      <c r="Q308" t="s">
        <v>365</v>
      </c>
      <c r="R308" t="s">
        <v>62</v>
      </c>
      <c r="S308" t="s">
        <v>30</v>
      </c>
      <c r="T308" t="s">
        <v>31</v>
      </c>
      <c r="U308" t="s">
        <v>30</v>
      </c>
      <c r="V308" t="s">
        <v>31</v>
      </c>
    </row>
    <row r="309" spans="1:22" ht="12.75">
      <c r="A309">
        <v>2016</v>
      </c>
      <c r="B309" t="s">
        <v>121</v>
      </c>
      <c r="C309" t="s">
        <v>64</v>
      </c>
      <c r="D309">
        <f>HYPERLINK("https://www.amazon.com/exec/obidos/ASIN/B01EYGSKES","Chromebook 13 G1")</f>
        <v>0</v>
      </c>
      <c r="E309" t="s">
        <v>93</v>
      </c>
      <c r="F309" t="s">
        <v>364</v>
      </c>
      <c r="G309" t="s">
        <v>313</v>
      </c>
      <c r="H309" t="s">
        <v>314</v>
      </c>
      <c r="I309">
        <v>2</v>
      </c>
      <c r="J309">
        <v>3060</v>
      </c>
      <c r="K309">
        <v>5850</v>
      </c>
      <c r="L309">
        <v>3200</v>
      </c>
      <c r="M309">
        <v>22800</v>
      </c>
      <c r="N309" t="s">
        <v>52</v>
      </c>
      <c r="O309" t="s">
        <v>53</v>
      </c>
      <c r="P309" t="s">
        <v>251</v>
      </c>
      <c r="Q309" t="s">
        <v>365</v>
      </c>
      <c r="R309" t="s">
        <v>62</v>
      </c>
      <c r="S309" t="s">
        <v>30</v>
      </c>
      <c r="T309" t="s">
        <v>31</v>
      </c>
      <c r="U309" t="s">
        <v>30</v>
      </c>
      <c r="V309" t="s">
        <v>31</v>
      </c>
    </row>
    <row r="310" spans="1:22" ht="12.75">
      <c r="A310">
        <v>2016</v>
      </c>
      <c r="B310" t="s">
        <v>121</v>
      </c>
      <c r="C310" t="s">
        <v>64</v>
      </c>
      <c r="D310">
        <f>HYPERLINK("https://www.amazon.com/exec/obidos/ASIN/B01EYGSM2I","Chromebook 13 G1")</f>
        <v>0</v>
      </c>
      <c r="E310" t="s">
        <v>93</v>
      </c>
      <c r="F310" t="s">
        <v>364</v>
      </c>
      <c r="G310" t="s">
        <v>366</v>
      </c>
      <c r="H310" t="s">
        <v>51</v>
      </c>
      <c r="I310">
        <v>2</v>
      </c>
      <c r="J310">
        <v>3150</v>
      </c>
      <c r="K310">
        <v>6750</v>
      </c>
      <c r="L310">
        <v>3750</v>
      </c>
      <c r="M310">
        <v>28500</v>
      </c>
      <c r="N310" t="s">
        <v>98</v>
      </c>
      <c r="O310" t="s">
        <v>53</v>
      </c>
      <c r="P310" t="s">
        <v>251</v>
      </c>
      <c r="Q310" t="s">
        <v>365</v>
      </c>
      <c r="R310" t="s">
        <v>62</v>
      </c>
      <c r="S310" t="s">
        <v>30</v>
      </c>
      <c r="T310" t="s">
        <v>31</v>
      </c>
      <c r="U310" t="s">
        <v>30</v>
      </c>
      <c r="V310" t="s">
        <v>31</v>
      </c>
    </row>
    <row r="311" spans="1:22" ht="12.75">
      <c r="A311">
        <v>2016</v>
      </c>
      <c r="B311" t="s">
        <v>121</v>
      </c>
      <c r="C311" t="s">
        <v>64</v>
      </c>
      <c r="D311">
        <f>HYPERLINK("https://www.amazon.com/exec/obidos/ASIN/B01EYGSIP4","Chromebook 13 G1")</f>
        <v>0</v>
      </c>
      <c r="E311" t="s">
        <v>93</v>
      </c>
      <c r="F311" t="s">
        <v>364</v>
      </c>
      <c r="G311" t="s">
        <v>317</v>
      </c>
      <c r="H311" t="s">
        <v>286</v>
      </c>
      <c r="I311">
        <v>2</v>
      </c>
      <c r="J311">
        <v>3560</v>
      </c>
      <c r="K311">
        <v>7500</v>
      </c>
      <c r="L311">
        <v>3900</v>
      </c>
      <c r="M311">
        <v>30600</v>
      </c>
      <c r="N311" t="s">
        <v>148</v>
      </c>
      <c r="O311" t="s">
        <v>53</v>
      </c>
      <c r="P311" t="s">
        <v>251</v>
      </c>
      <c r="Q311" t="s">
        <v>365</v>
      </c>
      <c r="R311" t="s">
        <v>62</v>
      </c>
      <c r="S311" t="s">
        <v>30</v>
      </c>
      <c r="T311" t="s">
        <v>31</v>
      </c>
      <c r="U311" t="s">
        <v>30</v>
      </c>
      <c r="V311" t="s">
        <v>31</v>
      </c>
    </row>
    <row r="312" spans="1:22" ht="12.75">
      <c r="A312">
        <v>2016</v>
      </c>
      <c r="B312" t="s">
        <v>22</v>
      </c>
      <c r="C312" t="s">
        <v>84</v>
      </c>
      <c r="D312">
        <f>HYPERLINK("https://www.amazon.com/exec/obidos/ASIN/B01CVKKZ60","N22 Chromebook")</f>
        <v>0</v>
      </c>
      <c r="E312" t="s">
        <v>48</v>
      </c>
      <c r="F312" t="s">
        <v>49</v>
      </c>
      <c r="G312" t="s">
        <v>367</v>
      </c>
      <c r="H312" t="s">
        <v>43</v>
      </c>
      <c r="I312">
        <v>2</v>
      </c>
      <c r="J312">
        <v>890</v>
      </c>
      <c r="K312">
        <v>2100</v>
      </c>
      <c r="L312">
        <v>1150</v>
      </c>
      <c r="M312">
        <v>8300</v>
      </c>
      <c r="N312" t="s">
        <v>250</v>
      </c>
      <c r="O312" t="s">
        <v>73</v>
      </c>
      <c r="P312" t="s">
        <v>74</v>
      </c>
      <c r="Q312" t="s">
        <v>359</v>
      </c>
      <c r="R312" t="s">
        <v>154</v>
      </c>
      <c r="S312" t="s">
        <v>31</v>
      </c>
      <c r="T312" t="s">
        <v>31</v>
      </c>
      <c r="U312" t="s">
        <v>30</v>
      </c>
      <c r="V312" t="s">
        <v>31</v>
      </c>
    </row>
    <row r="313" spans="1:22" ht="12.75">
      <c r="A313">
        <v>2016</v>
      </c>
      <c r="B313" t="s">
        <v>83</v>
      </c>
      <c r="C313" t="s">
        <v>84</v>
      </c>
      <c r="D313">
        <f>HYPERLINK("https://www.amazon.com/exec/obidos/ASIN/B077RG13YY","N22 Chromebook")</f>
        <v>0</v>
      </c>
      <c r="E313" t="s">
        <v>48</v>
      </c>
      <c r="F313" t="s">
        <v>49</v>
      </c>
      <c r="G313" t="s">
        <v>248</v>
      </c>
      <c r="H313" t="s">
        <v>43</v>
      </c>
      <c r="I313">
        <v>2</v>
      </c>
      <c r="J313">
        <v>1040</v>
      </c>
      <c r="K313">
        <v>2200</v>
      </c>
      <c r="L313">
        <v>1200</v>
      </c>
      <c r="M313" t="s">
        <v>249</v>
      </c>
      <c r="N313" t="s">
        <v>250</v>
      </c>
      <c r="O313" t="s">
        <v>73</v>
      </c>
      <c r="P313" t="s">
        <v>74</v>
      </c>
      <c r="Q313" t="s">
        <v>359</v>
      </c>
      <c r="R313" t="s">
        <v>154</v>
      </c>
      <c r="S313" t="s">
        <v>31</v>
      </c>
      <c r="T313" t="s">
        <v>31</v>
      </c>
      <c r="U313" t="s">
        <v>30</v>
      </c>
      <c r="V313" t="s">
        <v>31</v>
      </c>
    </row>
    <row r="314" spans="1:22" ht="12.75">
      <c r="A314">
        <v>2016</v>
      </c>
      <c r="B314" t="s">
        <v>83</v>
      </c>
      <c r="C314" t="s">
        <v>84</v>
      </c>
      <c r="D314">
        <f>HYPERLINK("https://www.amazon.com/exec/obidos/ASIN/B01H5EFSJQ","N22 Chromebook")</f>
        <v>0</v>
      </c>
      <c r="E314" t="s">
        <v>48</v>
      </c>
      <c r="F314" t="s">
        <v>49</v>
      </c>
      <c r="G314" t="s">
        <v>248</v>
      </c>
      <c r="H314" t="s">
        <v>43</v>
      </c>
      <c r="I314">
        <v>2</v>
      </c>
      <c r="J314">
        <v>1040</v>
      </c>
      <c r="K314">
        <v>2200</v>
      </c>
      <c r="L314">
        <v>1200</v>
      </c>
      <c r="M314" t="s">
        <v>249</v>
      </c>
      <c r="N314" t="s">
        <v>250</v>
      </c>
      <c r="O314" t="s">
        <v>73</v>
      </c>
      <c r="P314" t="s">
        <v>74</v>
      </c>
      <c r="Q314" t="s">
        <v>119</v>
      </c>
      <c r="R314" t="s">
        <v>120</v>
      </c>
      <c r="S314" t="s">
        <v>30</v>
      </c>
      <c r="T314" t="s">
        <v>30</v>
      </c>
      <c r="U314" t="s">
        <v>30</v>
      </c>
      <c r="V314" t="s">
        <v>31</v>
      </c>
    </row>
    <row r="315" spans="1:22" ht="12.75">
      <c r="A315">
        <v>2016</v>
      </c>
      <c r="B315" t="s">
        <v>103</v>
      </c>
      <c r="C315" t="s">
        <v>84</v>
      </c>
      <c r="D315">
        <f>HYPERLINK("https://www.dustinhome.se/product/5010994757/chromebook-n22?ssel=false","N22 Chromebook")</f>
        <v>0</v>
      </c>
      <c r="E315" t="s">
        <v>48</v>
      </c>
      <c r="F315" t="s">
        <v>49</v>
      </c>
      <c r="G315" t="s">
        <v>332</v>
      </c>
      <c r="H315" t="s">
        <v>43</v>
      </c>
      <c r="I315">
        <v>4</v>
      </c>
      <c r="J315">
        <v>1862</v>
      </c>
      <c r="K315">
        <v>3800</v>
      </c>
      <c r="L315">
        <v>1250</v>
      </c>
      <c r="M315" t="s">
        <v>333</v>
      </c>
      <c r="N315" t="s">
        <v>52</v>
      </c>
      <c r="O315" t="s">
        <v>53</v>
      </c>
      <c r="P315" t="s">
        <v>74</v>
      </c>
      <c r="Q315" t="s">
        <v>368</v>
      </c>
      <c r="R315" t="s">
        <v>62</v>
      </c>
      <c r="S315" t="s">
        <v>31</v>
      </c>
      <c r="T315" t="s">
        <v>31</v>
      </c>
      <c r="U315" t="s">
        <v>30</v>
      </c>
      <c r="V315" t="s">
        <v>31</v>
      </c>
    </row>
    <row r="316" spans="1:22" ht="12.75">
      <c r="A316">
        <v>2016</v>
      </c>
      <c r="B316" t="s">
        <v>112</v>
      </c>
      <c r="C316" t="s">
        <v>84</v>
      </c>
      <c r="D316">
        <f>HYPERLINK("https://www.amazon.com/exec/obidos/ASIN/B01I71T4GO","N42 Chromebook")</f>
        <v>0</v>
      </c>
      <c r="E316" t="s">
        <v>33</v>
      </c>
      <c r="F316" t="s">
        <v>49</v>
      </c>
      <c r="G316" t="s">
        <v>248</v>
      </c>
      <c r="H316" t="s">
        <v>43</v>
      </c>
      <c r="I316">
        <v>2</v>
      </c>
      <c r="J316">
        <v>1040</v>
      </c>
      <c r="K316">
        <v>2200</v>
      </c>
      <c r="L316">
        <v>1200</v>
      </c>
      <c r="M316" t="s">
        <v>249</v>
      </c>
      <c r="N316" t="s">
        <v>250</v>
      </c>
      <c r="O316" t="s">
        <v>73</v>
      </c>
      <c r="P316" t="s">
        <v>157</v>
      </c>
      <c r="Q316" t="s">
        <v>331</v>
      </c>
      <c r="R316" t="s">
        <v>116</v>
      </c>
      <c r="S316" t="s">
        <v>31</v>
      </c>
      <c r="T316" t="s">
        <v>31</v>
      </c>
      <c r="U316" t="s">
        <v>30</v>
      </c>
      <c r="V316" t="s">
        <v>31</v>
      </c>
    </row>
    <row r="317" spans="1:22" ht="12.75">
      <c r="A317">
        <v>2016</v>
      </c>
      <c r="B317" t="s">
        <v>136</v>
      </c>
      <c r="C317" t="s">
        <v>84</v>
      </c>
      <c r="D317">
        <f>HYPERLINK("https://www.amazon.com/exec/obidos/ASIN/B01JNL3M8I","N42 Chromebook")</f>
        <v>0</v>
      </c>
      <c r="E317" t="s">
        <v>33</v>
      </c>
      <c r="F317" t="s">
        <v>49</v>
      </c>
      <c r="G317" t="s">
        <v>248</v>
      </c>
      <c r="H317" t="s">
        <v>43</v>
      </c>
      <c r="I317">
        <v>2</v>
      </c>
      <c r="J317">
        <v>1040</v>
      </c>
      <c r="K317">
        <v>2200</v>
      </c>
      <c r="L317">
        <v>1200</v>
      </c>
      <c r="M317" t="s">
        <v>249</v>
      </c>
      <c r="N317" t="s">
        <v>250</v>
      </c>
      <c r="O317" t="s">
        <v>73</v>
      </c>
      <c r="P317" t="s">
        <v>157</v>
      </c>
      <c r="Q317" t="s">
        <v>331</v>
      </c>
      <c r="R317" t="s">
        <v>116</v>
      </c>
      <c r="S317" t="s">
        <v>31</v>
      </c>
      <c r="T317" t="s">
        <v>30</v>
      </c>
      <c r="U317" t="s">
        <v>30</v>
      </c>
      <c r="V317" t="s">
        <v>31</v>
      </c>
    </row>
    <row r="318" spans="1:22" ht="12.75">
      <c r="A318">
        <v>2016</v>
      </c>
      <c r="B318" t="s">
        <v>22</v>
      </c>
      <c r="C318" t="s">
        <v>84</v>
      </c>
      <c r="D318">
        <f>HYPERLINK("https://www.amazon.com/exec/obidos/ASIN/B01DN06RD2","ThinkPad 11e (2016)")</f>
        <v>0</v>
      </c>
      <c r="E318" t="s">
        <v>48</v>
      </c>
      <c r="F318" t="s">
        <v>49</v>
      </c>
      <c r="G318" t="s">
        <v>369</v>
      </c>
      <c r="H318" t="s">
        <v>43</v>
      </c>
      <c r="I318">
        <v>4</v>
      </c>
      <c r="J318">
        <v>1530</v>
      </c>
      <c r="K318">
        <v>3250</v>
      </c>
      <c r="L318">
        <v>1100</v>
      </c>
      <c r="M318" t="s">
        <v>370</v>
      </c>
      <c r="N318" t="s">
        <v>52</v>
      </c>
      <c r="O318" t="s">
        <v>148</v>
      </c>
      <c r="P318" t="s">
        <v>29</v>
      </c>
      <c r="Q318" t="s">
        <v>331</v>
      </c>
      <c r="R318" t="s">
        <v>116</v>
      </c>
      <c r="S318" t="s">
        <v>31</v>
      </c>
      <c r="T318" t="s">
        <v>31</v>
      </c>
      <c r="U318" t="s">
        <v>30</v>
      </c>
      <c r="V318" t="s">
        <v>31</v>
      </c>
    </row>
    <row r="319" spans="1:22" ht="12.75">
      <c r="A319">
        <v>2016</v>
      </c>
      <c r="B319" t="s">
        <v>22</v>
      </c>
      <c r="C319" t="s">
        <v>84</v>
      </c>
      <c r="D319">
        <f>HYPERLINK("https://www.amazon.com/exec/obidos/ASIN/B01DF5900C","ThinkPad 11e Yoga (2016)")</f>
        <v>0</v>
      </c>
      <c r="E319" t="s">
        <v>48</v>
      </c>
      <c r="F319" t="s">
        <v>49</v>
      </c>
      <c r="G319" t="s">
        <v>369</v>
      </c>
      <c r="H319" t="s">
        <v>43</v>
      </c>
      <c r="I319">
        <v>4</v>
      </c>
      <c r="J319">
        <v>1530</v>
      </c>
      <c r="K319">
        <v>3250</v>
      </c>
      <c r="L319">
        <v>1100</v>
      </c>
      <c r="M319" t="s">
        <v>370</v>
      </c>
      <c r="N319" t="s">
        <v>52</v>
      </c>
      <c r="O319" t="s">
        <v>148</v>
      </c>
      <c r="P319" t="s">
        <v>29</v>
      </c>
      <c r="Q319" t="s">
        <v>331</v>
      </c>
      <c r="R319" t="s">
        <v>116</v>
      </c>
      <c r="S319" t="s">
        <v>30</v>
      </c>
      <c r="T319" t="s">
        <v>30</v>
      </c>
      <c r="U319" t="s">
        <v>30</v>
      </c>
      <c r="V319" t="s">
        <v>31</v>
      </c>
    </row>
    <row r="320" spans="1:22" ht="12.75">
      <c r="A320">
        <v>2016</v>
      </c>
      <c r="B320" t="s">
        <v>92</v>
      </c>
      <c r="C320" t="s">
        <v>84</v>
      </c>
      <c r="D320">
        <f>HYPERLINK("https://www.amazon.com/exec/obidos/ASIN/B01HBJ60ME","ThinkPad 13")</f>
        <v>0</v>
      </c>
      <c r="E320" t="s">
        <v>93</v>
      </c>
      <c r="F320" t="s">
        <v>49</v>
      </c>
      <c r="G320" t="s">
        <v>297</v>
      </c>
      <c r="H320" t="s">
        <v>43</v>
      </c>
      <c r="I320">
        <v>2</v>
      </c>
      <c r="J320">
        <v>1720</v>
      </c>
      <c r="K320">
        <v>3700</v>
      </c>
      <c r="L320">
        <v>2200</v>
      </c>
      <c r="M320">
        <v>16600</v>
      </c>
      <c r="N320" t="s">
        <v>52</v>
      </c>
      <c r="O320" t="s">
        <v>148</v>
      </c>
      <c r="P320" t="s">
        <v>74</v>
      </c>
      <c r="Q320" t="s">
        <v>187</v>
      </c>
      <c r="R320" t="s">
        <v>111</v>
      </c>
      <c r="S320" t="s">
        <v>31</v>
      </c>
      <c r="T320" t="s">
        <v>31</v>
      </c>
      <c r="U320" t="s">
        <v>30</v>
      </c>
      <c r="V320" t="s">
        <v>31</v>
      </c>
    </row>
    <row r="321" spans="1:22" ht="12.75">
      <c r="A321">
        <v>2016</v>
      </c>
      <c r="B321" t="s">
        <v>124</v>
      </c>
      <c r="C321" t="s">
        <v>84</v>
      </c>
      <c r="D321">
        <f>HYPERLINK("http://shop.lenovo.com/us/en/laptops/thinkpad/13-series/chromebook/","ThinkPad 13")</f>
        <v>0</v>
      </c>
      <c r="E321" t="s">
        <v>93</v>
      </c>
      <c r="F321" t="s">
        <v>34</v>
      </c>
      <c r="G321" t="s">
        <v>297</v>
      </c>
      <c r="H321" t="s">
        <v>43</v>
      </c>
      <c r="I321">
        <v>2</v>
      </c>
      <c r="J321">
        <v>1720</v>
      </c>
      <c r="K321">
        <v>3700</v>
      </c>
      <c r="L321">
        <v>2200</v>
      </c>
      <c r="M321">
        <v>16600</v>
      </c>
      <c r="N321" t="s">
        <v>52</v>
      </c>
      <c r="O321" t="s">
        <v>148</v>
      </c>
      <c r="P321" t="s">
        <v>74</v>
      </c>
      <c r="Q321" t="s">
        <v>187</v>
      </c>
      <c r="R321" t="s">
        <v>111</v>
      </c>
      <c r="S321" t="s">
        <v>30</v>
      </c>
      <c r="T321" t="s">
        <v>30</v>
      </c>
      <c r="U321" t="s">
        <v>30</v>
      </c>
      <c r="V321" t="s">
        <v>31</v>
      </c>
    </row>
    <row r="322" spans="1:22" ht="12.75">
      <c r="A322">
        <v>2016</v>
      </c>
      <c r="B322" t="s">
        <v>92</v>
      </c>
      <c r="C322" t="s">
        <v>84</v>
      </c>
      <c r="D322">
        <f>HYPERLINK("https://www.amazon.com/exec/obidos/ASIN/B01JI8PHB6","ThinkPad 13")</f>
        <v>0</v>
      </c>
      <c r="E322" t="s">
        <v>93</v>
      </c>
      <c r="F322" t="s">
        <v>49</v>
      </c>
      <c r="G322" t="s">
        <v>298</v>
      </c>
      <c r="H322" t="s">
        <v>138</v>
      </c>
      <c r="I322">
        <v>2</v>
      </c>
      <c r="J322">
        <v>3500</v>
      </c>
      <c r="K322">
        <v>6600</v>
      </c>
      <c r="L322">
        <v>3300</v>
      </c>
      <c r="M322" t="s">
        <v>299</v>
      </c>
      <c r="N322" t="s">
        <v>52</v>
      </c>
      <c r="O322" t="s">
        <v>148</v>
      </c>
      <c r="P322" t="s">
        <v>74</v>
      </c>
      <c r="Q322" t="s">
        <v>187</v>
      </c>
      <c r="R322" t="s">
        <v>111</v>
      </c>
      <c r="S322" t="s">
        <v>31</v>
      </c>
      <c r="T322" t="s">
        <v>31</v>
      </c>
      <c r="U322" t="s">
        <v>30</v>
      </c>
      <c r="V322" t="s">
        <v>31</v>
      </c>
    </row>
    <row r="323" spans="1:22" ht="12.75">
      <c r="A323">
        <v>2016</v>
      </c>
      <c r="B323" t="s">
        <v>124</v>
      </c>
      <c r="C323" t="s">
        <v>84</v>
      </c>
      <c r="D323">
        <f>HYPERLINK("https://www.amazon.com/exec/obidos/ASIN/B01LWNVFIM","ThinkPad 13")</f>
        <v>0</v>
      </c>
      <c r="E323" t="s">
        <v>93</v>
      </c>
      <c r="F323" t="s">
        <v>34</v>
      </c>
      <c r="G323" t="s">
        <v>298</v>
      </c>
      <c r="H323" t="s">
        <v>138</v>
      </c>
      <c r="I323">
        <v>2</v>
      </c>
      <c r="J323">
        <v>3500</v>
      </c>
      <c r="K323">
        <v>6600</v>
      </c>
      <c r="L323">
        <v>3300</v>
      </c>
      <c r="M323" t="s">
        <v>299</v>
      </c>
      <c r="N323" t="s">
        <v>52</v>
      </c>
      <c r="O323" t="s">
        <v>148</v>
      </c>
      <c r="P323" t="s">
        <v>74</v>
      </c>
      <c r="Q323" t="s">
        <v>187</v>
      </c>
      <c r="R323" t="s">
        <v>111</v>
      </c>
      <c r="S323" t="s">
        <v>30</v>
      </c>
      <c r="T323" t="s">
        <v>30</v>
      </c>
      <c r="U323" t="s">
        <v>30</v>
      </c>
      <c r="V323" t="s">
        <v>31</v>
      </c>
    </row>
    <row r="324" spans="1:22" ht="12.75">
      <c r="A324">
        <v>2016</v>
      </c>
      <c r="B324" t="s">
        <v>92</v>
      </c>
      <c r="C324" t="s">
        <v>84</v>
      </c>
      <c r="D324">
        <f>HYPERLINK("https://www.amazon.com/exec/obidos/ASIN/B01JI8PHRU","ThinkPad 13")</f>
        <v>0</v>
      </c>
      <c r="E324" t="s">
        <v>93</v>
      </c>
      <c r="F324" t="s">
        <v>49</v>
      </c>
      <c r="G324" t="s">
        <v>371</v>
      </c>
      <c r="H324" t="s">
        <v>372</v>
      </c>
      <c r="I324">
        <v>2</v>
      </c>
      <c r="J324">
        <v>4300</v>
      </c>
      <c r="K324">
        <v>7900</v>
      </c>
      <c r="L324">
        <v>4100</v>
      </c>
      <c r="M324">
        <v>29400</v>
      </c>
      <c r="N324" t="s">
        <v>98</v>
      </c>
      <c r="O324" t="s">
        <v>53</v>
      </c>
      <c r="P324" t="s">
        <v>74</v>
      </c>
      <c r="Q324" t="s">
        <v>187</v>
      </c>
      <c r="R324" t="s">
        <v>111</v>
      </c>
      <c r="S324" t="s">
        <v>31</v>
      </c>
      <c r="T324" t="s">
        <v>31</v>
      </c>
      <c r="U324" t="s">
        <v>30</v>
      </c>
      <c r="V324" t="s">
        <v>31</v>
      </c>
    </row>
    <row r="325" spans="1:22" ht="12.75">
      <c r="A325">
        <v>2016</v>
      </c>
      <c r="B325" t="s">
        <v>92</v>
      </c>
      <c r="C325" t="s">
        <v>84</v>
      </c>
      <c r="D325">
        <f aca="true" t="shared" si="13" ref="D325:D326">HYPERLINK("http://shop.lenovo.com/us/en/laptops/thinkpad/13-series/chromebook/","ThinkPad 13")</f>
        <v>0</v>
      </c>
      <c r="E325" t="s">
        <v>93</v>
      </c>
      <c r="F325" t="s">
        <v>34</v>
      </c>
      <c r="G325" t="s">
        <v>371</v>
      </c>
      <c r="H325" t="s">
        <v>372</v>
      </c>
      <c r="I325">
        <v>2</v>
      </c>
      <c r="J325">
        <v>4300</v>
      </c>
      <c r="K325">
        <v>7900</v>
      </c>
      <c r="L325">
        <v>4100</v>
      </c>
      <c r="M325">
        <v>29400</v>
      </c>
      <c r="N325" t="s">
        <v>98</v>
      </c>
      <c r="O325" t="s">
        <v>53</v>
      </c>
      <c r="P325" t="s">
        <v>74</v>
      </c>
      <c r="Q325" t="s">
        <v>187</v>
      </c>
      <c r="R325" t="s">
        <v>111</v>
      </c>
      <c r="S325" t="s">
        <v>30</v>
      </c>
      <c r="T325" t="s">
        <v>31</v>
      </c>
      <c r="U325" t="s">
        <v>30</v>
      </c>
      <c r="V325" t="s">
        <v>31</v>
      </c>
    </row>
    <row r="326" spans="1:22" ht="12.75">
      <c r="A326">
        <v>2016</v>
      </c>
      <c r="B326" t="s">
        <v>124</v>
      </c>
      <c r="C326" t="s">
        <v>84</v>
      </c>
      <c r="D326">
        <f t="shared" si="13"/>
        <v>0</v>
      </c>
      <c r="E326" t="s">
        <v>93</v>
      </c>
      <c r="F326" t="s">
        <v>34</v>
      </c>
      <c r="G326" t="s">
        <v>371</v>
      </c>
      <c r="H326" t="s">
        <v>372</v>
      </c>
      <c r="I326">
        <v>2</v>
      </c>
      <c r="J326">
        <v>4300</v>
      </c>
      <c r="K326">
        <v>7900</v>
      </c>
      <c r="L326">
        <v>4100</v>
      </c>
      <c r="M326">
        <v>29400</v>
      </c>
      <c r="N326" t="s">
        <v>98</v>
      </c>
      <c r="O326" t="s">
        <v>53</v>
      </c>
      <c r="P326" t="s">
        <v>74</v>
      </c>
      <c r="Q326" t="s">
        <v>187</v>
      </c>
      <c r="R326" t="s">
        <v>111</v>
      </c>
      <c r="S326" t="s">
        <v>30</v>
      </c>
      <c r="T326" t="s">
        <v>30</v>
      </c>
      <c r="U326" t="s">
        <v>30</v>
      </c>
      <c r="V326" t="s">
        <v>31</v>
      </c>
    </row>
    <row r="327" spans="1:22" ht="12.75">
      <c r="A327">
        <v>2016</v>
      </c>
      <c r="B327" t="s">
        <v>92</v>
      </c>
      <c r="C327" t="s">
        <v>373</v>
      </c>
      <c r="D327">
        <f>HYPERLINK("https://www.amazon.de/exec/obidos/ASIN/B01H6KWLHG","Akoya S2015")</f>
        <v>0</v>
      </c>
      <c r="E327" t="s">
        <v>48</v>
      </c>
      <c r="F327" t="s">
        <v>49</v>
      </c>
      <c r="G327" t="s">
        <v>337</v>
      </c>
      <c r="H327" t="s">
        <v>45</v>
      </c>
      <c r="I327">
        <v>4</v>
      </c>
      <c r="J327" t="s">
        <v>26</v>
      </c>
      <c r="K327">
        <v>2950</v>
      </c>
      <c r="L327">
        <v>1050</v>
      </c>
      <c r="M327" t="s">
        <v>338</v>
      </c>
      <c r="N327" t="s">
        <v>339</v>
      </c>
      <c r="O327" t="s">
        <v>148</v>
      </c>
      <c r="P327" t="s">
        <v>26</v>
      </c>
      <c r="Q327" t="s">
        <v>374</v>
      </c>
      <c r="R327" t="s">
        <v>375</v>
      </c>
      <c r="S327" t="s">
        <v>31</v>
      </c>
      <c r="T327" t="s">
        <v>31</v>
      </c>
      <c r="U327" t="s">
        <v>30</v>
      </c>
      <c r="V327" t="s">
        <v>31</v>
      </c>
    </row>
    <row r="328" spans="1:22" ht="12.75">
      <c r="A328">
        <v>2016</v>
      </c>
      <c r="B328" t="s">
        <v>92</v>
      </c>
      <c r="C328" t="s">
        <v>376</v>
      </c>
      <c r="D328">
        <f>HYPERLINK("https://www.ncomputing.com/node/7615","CX100 / CX110")</f>
        <v>0</v>
      </c>
      <c r="E328" t="s">
        <v>48</v>
      </c>
      <c r="F328" t="s">
        <v>49</v>
      </c>
      <c r="G328" t="s">
        <v>337</v>
      </c>
      <c r="H328" t="s">
        <v>45</v>
      </c>
      <c r="I328">
        <v>4</v>
      </c>
      <c r="J328" t="s">
        <v>26</v>
      </c>
      <c r="K328">
        <v>2950</v>
      </c>
      <c r="L328">
        <v>1050</v>
      </c>
      <c r="M328" t="s">
        <v>338</v>
      </c>
      <c r="N328" t="s">
        <v>250</v>
      </c>
      <c r="O328" t="s">
        <v>148</v>
      </c>
      <c r="P328" t="s">
        <v>341</v>
      </c>
      <c r="Q328" t="s">
        <v>377</v>
      </c>
      <c r="R328" t="s">
        <v>266</v>
      </c>
      <c r="S328" t="s">
        <v>30</v>
      </c>
      <c r="T328" t="s">
        <v>31</v>
      </c>
      <c r="U328" t="s">
        <v>30</v>
      </c>
      <c r="V328" t="s">
        <v>31</v>
      </c>
    </row>
    <row r="329" spans="1:22" ht="12.75">
      <c r="A329">
        <v>2016</v>
      </c>
      <c r="B329" t="s">
        <v>124</v>
      </c>
      <c r="C329" t="s">
        <v>245</v>
      </c>
      <c r="D329">
        <f>HYPERLINK("https://www.techbuy.com.au/p/424086/NOTEBOOKS_11.3SCREEN/PCmerge/PCM-116T-432B.asp","PCM-116T")</f>
        <v>0</v>
      </c>
      <c r="E329" t="s">
        <v>48</v>
      </c>
      <c r="F329" t="s">
        <v>49</v>
      </c>
      <c r="G329" t="s">
        <v>248</v>
      </c>
      <c r="H329" t="s">
        <v>43</v>
      </c>
      <c r="I329">
        <v>2</v>
      </c>
      <c r="J329">
        <v>1040</v>
      </c>
      <c r="K329">
        <v>2200</v>
      </c>
      <c r="L329">
        <v>1200</v>
      </c>
      <c r="M329" t="s">
        <v>249</v>
      </c>
      <c r="N329" t="s">
        <v>52</v>
      </c>
      <c r="O329" t="s">
        <v>53</v>
      </c>
      <c r="P329" t="s">
        <v>74</v>
      </c>
      <c r="Q329" t="s">
        <v>115</v>
      </c>
      <c r="R329" t="s">
        <v>116</v>
      </c>
      <c r="S329" t="s">
        <v>30</v>
      </c>
      <c r="T329" t="s">
        <v>30</v>
      </c>
      <c r="U329" t="s">
        <v>30</v>
      </c>
      <c r="V329" t="s">
        <v>31</v>
      </c>
    </row>
    <row r="330" spans="1:22" ht="12.75">
      <c r="A330">
        <v>2016</v>
      </c>
      <c r="B330" t="s">
        <v>112</v>
      </c>
      <c r="C330" t="s">
        <v>378</v>
      </c>
      <c r="D330">
        <f>HYPERLINK("https://www.prowise.com/us/personal-devices/chromebooks/","EntryLine Chromebook")</f>
        <v>0</v>
      </c>
      <c r="E330" t="s">
        <v>48</v>
      </c>
      <c r="F330" t="s">
        <v>49</v>
      </c>
      <c r="G330" t="s">
        <v>337</v>
      </c>
      <c r="H330" t="s">
        <v>45</v>
      </c>
      <c r="I330">
        <v>4</v>
      </c>
      <c r="J330" t="s">
        <v>26</v>
      </c>
      <c r="K330">
        <v>2950</v>
      </c>
      <c r="L330">
        <v>1050</v>
      </c>
      <c r="M330">
        <v>7400</v>
      </c>
      <c r="N330" t="s">
        <v>339</v>
      </c>
      <c r="O330" t="s">
        <v>148</v>
      </c>
      <c r="P330" t="s">
        <v>74</v>
      </c>
      <c r="Q330" t="s">
        <v>278</v>
      </c>
      <c r="R330" t="s">
        <v>279</v>
      </c>
      <c r="S330" t="s">
        <v>31</v>
      </c>
      <c r="T330" t="s">
        <v>31</v>
      </c>
      <c r="U330" t="s">
        <v>30</v>
      </c>
      <c r="V330" t="s">
        <v>31</v>
      </c>
    </row>
    <row r="331" spans="1:22" ht="12.75">
      <c r="A331">
        <v>2016</v>
      </c>
      <c r="B331" t="s">
        <v>112</v>
      </c>
      <c r="C331" t="s">
        <v>378</v>
      </c>
      <c r="D331">
        <f>HYPERLINK("https://www.prowise.com/us/personal-devices/chromebooks/","ProLine Chromebook")</f>
        <v>0</v>
      </c>
      <c r="E331" t="s">
        <v>48</v>
      </c>
      <c r="F331" t="s">
        <v>49</v>
      </c>
      <c r="G331" t="s">
        <v>248</v>
      </c>
      <c r="H331" t="s">
        <v>43</v>
      </c>
      <c r="I331">
        <v>2</v>
      </c>
      <c r="J331">
        <v>1040</v>
      </c>
      <c r="K331">
        <v>2200</v>
      </c>
      <c r="L331">
        <v>1200</v>
      </c>
      <c r="M331">
        <v>9300</v>
      </c>
      <c r="N331" t="s">
        <v>52</v>
      </c>
      <c r="O331" t="s">
        <v>53</v>
      </c>
      <c r="P331" t="s">
        <v>74</v>
      </c>
      <c r="Q331" t="s">
        <v>331</v>
      </c>
      <c r="R331" t="s">
        <v>116</v>
      </c>
      <c r="S331" t="s">
        <v>30</v>
      </c>
      <c r="T331" t="s">
        <v>30</v>
      </c>
      <c r="U331" t="s">
        <v>30</v>
      </c>
      <c r="V331" t="s">
        <v>31</v>
      </c>
    </row>
    <row r="332" spans="1:22" ht="12.75">
      <c r="A332">
        <v>2016</v>
      </c>
      <c r="B332" t="s">
        <v>46</v>
      </c>
      <c r="C332" t="s">
        <v>96</v>
      </c>
      <c r="D332">
        <f>HYPERLINK("https://www.amazon.com/exec/obidos/ASIN/B01APA6K6M","Chromebook 3")</f>
        <v>0</v>
      </c>
      <c r="E332" t="s">
        <v>48</v>
      </c>
      <c r="F332" t="s">
        <v>49</v>
      </c>
      <c r="G332" t="s">
        <v>367</v>
      </c>
      <c r="H332" t="s">
        <v>43</v>
      </c>
      <c r="I332">
        <v>2</v>
      </c>
      <c r="J332">
        <v>890</v>
      </c>
      <c r="K332">
        <v>2100</v>
      </c>
      <c r="L332">
        <v>1150</v>
      </c>
      <c r="M332" t="s">
        <v>379</v>
      </c>
      <c r="N332" t="s">
        <v>250</v>
      </c>
      <c r="O332" t="s">
        <v>148</v>
      </c>
      <c r="P332" t="s">
        <v>157</v>
      </c>
      <c r="Q332" t="s">
        <v>377</v>
      </c>
      <c r="R332" t="s">
        <v>266</v>
      </c>
      <c r="S332" t="s">
        <v>31</v>
      </c>
      <c r="T332" t="s">
        <v>31</v>
      </c>
      <c r="U332" t="s">
        <v>30</v>
      </c>
      <c r="V332" t="s">
        <v>31</v>
      </c>
    </row>
    <row r="333" spans="1:22" ht="12.75">
      <c r="A333">
        <v>2016</v>
      </c>
      <c r="B333" t="s">
        <v>22</v>
      </c>
      <c r="C333" t="s">
        <v>380</v>
      </c>
      <c r="D333">
        <f>HYPERLINK("http://viglen.xma.co.uk/chromebook360/","Chromebook 360")</f>
        <v>0</v>
      </c>
      <c r="E333" t="s">
        <v>48</v>
      </c>
      <c r="F333" t="s">
        <v>49</v>
      </c>
      <c r="G333" t="s">
        <v>248</v>
      </c>
      <c r="H333" t="s">
        <v>43</v>
      </c>
      <c r="I333">
        <v>2</v>
      </c>
      <c r="J333">
        <v>1040</v>
      </c>
      <c r="K333">
        <v>2200</v>
      </c>
      <c r="L333">
        <v>1200</v>
      </c>
      <c r="M333" t="s">
        <v>249</v>
      </c>
      <c r="N333" t="s">
        <v>52</v>
      </c>
      <c r="O333" t="s">
        <v>53</v>
      </c>
      <c r="P333" t="s">
        <v>74</v>
      </c>
      <c r="Q333" t="s">
        <v>139</v>
      </c>
      <c r="R333" t="s">
        <v>140</v>
      </c>
      <c r="S333" t="s">
        <v>30</v>
      </c>
      <c r="T333" t="s">
        <v>30</v>
      </c>
      <c r="U333" t="s">
        <v>30</v>
      </c>
      <c r="V333" t="s">
        <v>31</v>
      </c>
    </row>
    <row r="334" spans="1:22" ht="12.75">
      <c r="A334">
        <v>2015</v>
      </c>
      <c r="B334" t="s">
        <v>46</v>
      </c>
      <c r="C334" t="s">
        <v>23</v>
      </c>
      <c r="D334">
        <f>HYPERLINK("https://www.amazon.com/exec/obidos/ASIN/B00SQFYXF4","Chromebook 11 C740")</f>
        <v>0</v>
      </c>
      <c r="E334" t="s">
        <v>48</v>
      </c>
      <c r="F334" t="s">
        <v>49</v>
      </c>
      <c r="G334" t="s">
        <v>381</v>
      </c>
      <c r="H334" t="s">
        <v>209</v>
      </c>
      <c r="I334">
        <v>2</v>
      </c>
      <c r="J334">
        <v>1703</v>
      </c>
      <c r="K334">
        <v>2600</v>
      </c>
      <c r="L334">
        <v>1490</v>
      </c>
      <c r="M334">
        <v>14100</v>
      </c>
      <c r="N334" t="s">
        <v>250</v>
      </c>
      <c r="O334" t="s">
        <v>148</v>
      </c>
      <c r="P334" t="s">
        <v>100</v>
      </c>
      <c r="Q334" t="s">
        <v>177</v>
      </c>
      <c r="R334" t="s">
        <v>178</v>
      </c>
      <c r="S334" t="s">
        <v>31</v>
      </c>
      <c r="T334" t="s">
        <v>31</v>
      </c>
      <c r="U334" t="s">
        <v>30</v>
      </c>
      <c r="V334" t="s">
        <v>31</v>
      </c>
    </row>
    <row r="335" spans="1:22" ht="12.75">
      <c r="A335">
        <v>2015</v>
      </c>
      <c r="B335" t="s">
        <v>83</v>
      </c>
      <c r="C335" t="s">
        <v>23</v>
      </c>
      <c r="D335">
        <f>HYPERLINK("https://www.amazon.com/exec/obidos/ASIN/B00X5X4230","Chromebook 13 C810")</f>
        <v>0</v>
      </c>
      <c r="E335" t="s">
        <v>93</v>
      </c>
      <c r="F335" t="s">
        <v>49</v>
      </c>
      <c r="G335" t="s">
        <v>382</v>
      </c>
      <c r="H335" t="s">
        <v>36</v>
      </c>
      <c r="I335">
        <v>4</v>
      </c>
      <c r="J335" t="s">
        <v>26</v>
      </c>
      <c r="K335">
        <v>3098</v>
      </c>
      <c r="L335">
        <v>1033</v>
      </c>
      <c r="M335" t="s">
        <v>383</v>
      </c>
      <c r="N335" t="s">
        <v>52</v>
      </c>
      <c r="O335" t="s">
        <v>73</v>
      </c>
      <c r="P335" t="s">
        <v>80</v>
      </c>
      <c r="Q335" t="s">
        <v>115</v>
      </c>
      <c r="R335" t="s">
        <v>116</v>
      </c>
      <c r="S335" t="s">
        <v>31</v>
      </c>
      <c r="T335" t="s">
        <v>31</v>
      </c>
      <c r="U335" t="s">
        <v>31</v>
      </c>
      <c r="V335" t="s">
        <v>31</v>
      </c>
    </row>
    <row r="336" spans="1:22" ht="12.75">
      <c r="A336">
        <v>2015</v>
      </c>
      <c r="B336" t="s">
        <v>83</v>
      </c>
      <c r="C336" t="s">
        <v>23</v>
      </c>
      <c r="D336">
        <f>HYPERLINK("https://www.acer.com/ac/en/CA/content/professional-series/acerchromebook13c810","Chromebook 13 C810")</f>
        <v>0</v>
      </c>
      <c r="E336" t="s">
        <v>93</v>
      </c>
      <c r="F336" t="s">
        <v>34</v>
      </c>
      <c r="G336" t="s">
        <v>382</v>
      </c>
      <c r="H336" t="s">
        <v>36</v>
      </c>
      <c r="I336">
        <v>4</v>
      </c>
      <c r="J336" t="s">
        <v>26</v>
      </c>
      <c r="K336">
        <v>3098</v>
      </c>
      <c r="L336">
        <v>1033</v>
      </c>
      <c r="M336" t="s">
        <v>383</v>
      </c>
      <c r="N336" t="s">
        <v>52</v>
      </c>
      <c r="O336" t="s">
        <v>148</v>
      </c>
      <c r="P336" t="s">
        <v>80</v>
      </c>
      <c r="Q336" t="s">
        <v>115</v>
      </c>
      <c r="R336" t="s">
        <v>116</v>
      </c>
      <c r="S336" t="s">
        <v>31</v>
      </c>
      <c r="T336" t="s">
        <v>31</v>
      </c>
      <c r="U336" t="s">
        <v>31</v>
      </c>
      <c r="V336" t="s">
        <v>31</v>
      </c>
    </row>
    <row r="337" spans="1:22" ht="12.75">
      <c r="A337">
        <v>2015</v>
      </c>
      <c r="B337" t="s">
        <v>22</v>
      </c>
      <c r="C337" t="s">
        <v>23</v>
      </c>
      <c r="D337">
        <f>HYPERLINK("https://www.amazon.com/exec/obidos/ASIN/B00T03KR8I","Chromebook 15")</f>
        <v>0</v>
      </c>
      <c r="E337" t="s">
        <v>132</v>
      </c>
      <c r="F337" t="s">
        <v>49</v>
      </c>
      <c r="G337" t="s">
        <v>381</v>
      </c>
      <c r="H337" t="s">
        <v>209</v>
      </c>
      <c r="I337">
        <v>2</v>
      </c>
      <c r="J337">
        <v>1703</v>
      </c>
      <c r="K337">
        <v>2600</v>
      </c>
      <c r="L337">
        <v>1490</v>
      </c>
      <c r="M337" t="s">
        <v>384</v>
      </c>
      <c r="N337" t="s">
        <v>250</v>
      </c>
      <c r="O337" t="s">
        <v>148</v>
      </c>
      <c r="P337" t="s">
        <v>100</v>
      </c>
      <c r="Q337" t="s">
        <v>259</v>
      </c>
      <c r="R337" t="s">
        <v>260</v>
      </c>
      <c r="S337" t="s">
        <v>31</v>
      </c>
      <c r="T337" t="s">
        <v>31</v>
      </c>
      <c r="U337" t="s">
        <v>30</v>
      </c>
      <c r="V337" t="s">
        <v>31</v>
      </c>
    </row>
    <row r="338" spans="1:22" ht="12.75">
      <c r="A338">
        <v>2015</v>
      </c>
      <c r="B338" t="s">
        <v>22</v>
      </c>
      <c r="C338" t="s">
        <v>23</v>
      </c>
      <c r="D338">
        <f>HYPERLINK("https://www.amazon.com/exec/obidos/ASIN/B00T03KQ34","Chromebook 15")</f>
        <v>0</v>
      </c>
      <c r="E338" t="s">
        <v>132</v>
      </c>
      <c r="F338" t="s">
        <v>34</v>
      </c>
      <c r="G338" t="s">
        <v>381</v>
      </c>
      <c r="H338" t="s">
        <v>209</v>
      </c>
      <c r="I338">
        <v>2</v>
      </c>
      <c r="J338">
        <v>1703</v>
      </c>
      <c r="K338">
        <v>2600</v>
      </c>
      <c r="L338">
        <v>1490</v>
      </c>
      <c r="M338" t="s">
        <v>384</v>
      </c>
      <c r="N338" t="s">
        <v>250</v>
      </c>
      <c r="O338" t="s">
        <v>73</v>
      </c>
      <c r="P338" t="s">
        <v>100</v>
      </c>
      <c r="Q338" t="s">
        <v>259</v>
      </c>
      <c r="R338" t="s">
        <v>260</v>
      </c>
      <c r="S338" t="s">
        <v>30</v>
      </c>
      <c r="T338" t="s">
        <v>31</v>
      </c>
      <c r="U338" t="s">
        <v>30</v>
      </c>
      <c r="V338" t="s">
        <v>31</v>
      </c>
    </row>
    <row r="339" spans="1:22" ht="12.75">
      <c r="A339">
        <v>2015</v>
      </c>
      <c r="B339" t="s">
        <v>22</v>
      </c>
      <c r="C339" t="s">
        <v>23</v>
      </c>
      <c r="D339">
        <f>HYPERLINK("https://www.amazon.com/exec/obidos/ASIN/B00X5X30V0","Chromebook 15")</f>
        <v>0</v>
      </c>
      <c r="E339" t="s">
        <v>132</v>
      </c>
      <c r="F339" t="s">
        <v>34</v>
      </c>
      <c r="G339" t="s">
        <v>385</v>
      </c>
      <c r="H339" t="s">
        <v>88</v>
      </c>
      <c r="I339">
        <v>2</v>
      </c>
      <c r="J339">
        <v>2920</v>
      </c>
      <c r="K339">
        <v>4500</v>
      </c>
      <c r="L339">
        <v>2100</v>
      </c>
      <c r="M339" t="s">
        <v>386</v>
      </c>
      <c r="N339" t="s">
        <v>52</v>
      </c>
      <c r="O339" t="s">
        <v>53</v>
      </c>
      <c r="P339" t="s">
        <v>100</v>
      </c>
      <c r="Q339" t="s">
        <v>259</v>
      </c>
      <c r="R339" t="s">
        <v>260</v>
      </c>
      <c r="S339" t="s">
        <v>30</v>
      </c>
      <c r="T339" t="s">
        <v>31</v>
      </c>
      <c r="U339" t="s">
        <v>30</v>
      </c>
      <c r="V339" t="s">
        <v>31</v>
      </c>
    </row>
    <row r="340" spans="1:22" ht="12.75">
      <c r="A340">
        <v>2015</v>
      </c>
      <c r="B340" t="s">
        <v>22</v>
      </c>
      <c r="C340" t="s">
        <v>23</v>
      </c>
      <c r="D340">
        <f>HYPERLINK("https://www.amazon.com/exec/obidos/ASIN/B00X5X2Z66","Chromebook 15")</f>
        <v>0</v>
      </c>
      <c r="E340" t="s">
        <v>132</v>
      </c>
      <c r="F340" t="s">
        <v>34</v>
      </c>
      <c r="G340" t="s">
        <v>387</v>
      </c>
      <c r="H340" t="s">
        <v>142</v>
      </c>
      <c r="I340">
        <v>2</v>
      </c>
      <c r="J340">
        <v>3526</v>
      </c>
      <c r="K340">
        <v>5800</v>
      </c>
      <c r="L340">
        <v>2900</v>
      </c>
      <c r="M340">
        <v>25300</v>
      </c>
      <c r="N340" t="s">
        <v>52</v>
      </c>
      <c r="O340" t="s">
        <v>53</v>
      </c>
      <c r="P340" t="s">
        <v>100</v>
      </c>
      <c r="Q340" t="s">
        <v>259</v>
      </c>
      <c r="R340" t="s">
        <v>260</v>
      </c>
      <c r="S340" t="s">
        <v>30</v>
      </c>
      <c r="T340" t="s">
        <v>31</v>
      </c>
      <c r="U340" t="s">
        <v>30</v>
      </c>
      <c r="V340" t="s">
        <v>31</v>
      </c>
    </row>
    <row r="341" spans="1:22" ht="12.75">
      <c r="A341">
        <v>2015</v>
      </c>
      <c r="B341" t="s">
        <v>121</v>
      </c>
      <c r="C341" t="s">
        <v>23</v>
      </c>
      <c r="D341">
        <f>HYPERLINK("https://www.amazon.com/exec/obidos/ASIN/B011J72QE0","Chromebook 15 (CB3-531)")</f>
        <v>0</v>
      </c>
      <c r="E341" t="s">
        <v>132</v>
      </c>
      <c r="F341" t="s">
        <v>49</v>
      </c>
      <c r="G341" t="s">
        <v>388</v>
      </c>
      <c r="H341" t="s">
        <v>347</v>
      </c>
      <c r="I341">
        <v>2</v>
      </c>
      <c r="J341">
        <v>1016</v>
      </c>
      <c r="K341">
        <v>1506</v>
      </c>
      <c r="L341">
        <v>879</v>
      </c>
      <c r="M341" t="s">
        <v>383</v>
      </c>
      <c r="N341" t="s">
        <v>339</v>
      </c>
      <c r="O341" t="s">
        <v>148</v>
      </c>
      <c r="P341" t="s">
        <v>214</v>
      </c>
      <c r="Q341" t="s">
        <v>389</v>
      </c>
      <c r="R341" t="s">
        <v>390</v>
      </c>
      <c r="S341" t="s">
        <v>31</v>
      </c>
      <c r="T341" t="s">
        <v>31</v>
      </c>
      <c r="U341" t="s">
        <v>30</v>
      </c>
      <c r="V341" t="s">
        <v>31</v>
      </c>
    </row>
    <row r="342" spans="1:22" ht="12.75">
      <c r="A342">
        <v>2015</v>
      </c>
      <c r="B342" t="s">
        <v>46</v>
      </c>
      <c r="C342" t="s">
        <v>23</v>
      </c>
      <c r="D342">
        <f>HYPERLINK("https://www.amazon.com/exec/obidos/ASIN/B00T0QZL40","Chromebook 15 C910")</f>
        <v>0</v>
      </c>
      <c r="E342" t="s">
        <v>132</v>
      </c>
      <c r="F342" t="s">
        <v>49</v>
      </c>
      <c r="G342" t="s">
        <v>381</v>
      </c>
      <c r="H342" t="s">
        <v>209</v>
      </c>
      <c r="I342">
        <v>2</v>
      </c>
      <c r="J342">
        <v>1703</v>
      </c>
      <c r="K342">
        <v>2600</v>
      </c>
      <c r="L342">
        <v>1490</v>
      </c>
      <c r="M342">
        <v>14200</v>
      </c>
      <c r="N342" t="s">
        <v>250</v>
      </c>
      <c r="O342" t="s">
        <v>73</v>
      </c>
      <c r="P342" t="s">
        <v>251</v>
      </c>
      <c r="Q342" t="s">
        <v>259</v>
      </c>
      <c r="R342" t="s">
        <v>260</v>
      </c>
      <c r="S342" t="s">
        <v>31</v>
      </c>
      <c r="T342" t="s">
        <v>31</v>
      </c>
      <c r="U342" t="s">
        <v>30</v>
      </c>
      <c r="V342" t="s">
        <v>31</v>
      </c>
    </row>
    <row r="343" spans="1:22" ht="12.75">
      <c r="A343">
        <v>2015</v>
      </c>
      <c r="B343" t="s">
        <v>46</v>
      </c>
      <c r="C343" t="s">
        <v>23</v>
      </c>
      <c r="D343">
        <f>HYPERLINK("https://www.amazon.com/exec/obidos/ASIN/B00T0QZLV8","Chromebook 15 C910")</f>
        <v>0</v>
      </c>
      <c r="E343" t="s">
        <v>132</v>
      </c>
      <c r="F343" t="s">
        <v>34</v>
      </c>
      <c r="G343" t="s">
        <v>381</v>
      </c>
      <c r="H343" t="s">
        <v>209</v>
      </c>
      <c r="I343">
        <v>2</v>
      </c>
      <c r="J343">
        <v>1703</v>
      </c>
      <c r="K343">
        <v>2600</v>
      </c>
      <c r="L343">
        <v>1490</v>
      </c>
      <c r="M343">
        <v>14200</v>
      </c>
      <c r="N343" t="s">
        <v>250</v>
      </c>
      <c r="O343" t="s">
        <v>73</v>
      </c>
      <c r="P343" t="s">
        <v>251</v>
      </c>
      <c r="Q343" t="s">
        <v>259</v>
      </c>
      <c r="R343" t="s">
        <v>260</v>
      </c>
      <c r="S343" t="s">
        <v>30</v>
      </c>
      <c r="T343" t="s">
        <v>31</v>
      </c>
      <c r="U343" t="s">
        <v>30</v>
      </c>
      <c r="V343" t="s">
        <v>31</v>
      </c>
    </row>
    <row r="344" spans="1:22" ht="12.75">
      <c r="A344">
        <v>2015</v>
      </c>
      <c r="B344" t="s">
        <v>46</v>
      </c>
      <c r="C344" t="s">
        <v>23</v>
      </c>
      <c r="D344">
        <f>HYPERLINK("https://www.amazon.com/exec/obidos/ASIN/B00UPGWC5K","Chromebook 15 C910")</f>
        <v>0</v>
      </c>
      <c r="E344" t="s">
        <v>132</v>
      </c>
      <c r="F344" t="s">
        <v>34</v>
      </c>
      <c r="G344" t="s">
        <v>385</v>
      </c>
      <c r="H344" t="s">
        <v>88</v>
      </c>
      <c r="I344">
        <v>2</v>
      </c>
      <c r="J344">
        <v>2920</v>
      </c>
      <c r="K344">
        <v>4500</v>
      </c>
      <c r="L344">
        <v>2100</v>
      </c>
      <c r="M344" t="s">
        <v>386</v>
      </c>
      <c r="N344" t="s">
        <v>52</v>
      </c>
      <c r="O344" t="s">
        <v>53</v>
      </c>
      <c r="P344" t="s">
        <v>251</v>
      </c>
      <c r="Q344" t="s">
        <v>259</v>
      </c>
      <c r="R344" t="s">
        <v>260</v>
      </c>
      <c r="S344" t="s">
        <v>30</v>
      </c>
      <c r="T344" t="s">
        <v>31</v>
      </c>
      <c r="U344" t="s">
        <v>30</v>
      </c>
      <c r="V344" t="s">
        <v>31</v>
      </c>
    </row>
    <row r="345" spans="1:22" ht="12.75">
      <c r="A345">
        <v>2015</v>
      </c>
      <c r="B345" t="s">
        <v>46</v>
      </c>
      <c r="C345" t="s">
        <v>23</v>
      </c>
      <c r="D345">
        <f>HYPERLINK("https://www.amazon.com/exec/obidos/ASIN/B00UPGWD5Y","Chromebook 15 C910")</f>
        <v>0</v>
      </c>
      <c r="E345" t="s">
        <v>132</v>
      </c>
      <c r="F345" t="s">
        <v>34</v>
      </c>
      <c r="G345" t="s">
        <v>387</v>
      </c>
      <c r="H345" t="s">
        <v>142</v>
      </c>
      <c r="I345">
        <v>2</v>
      </c>
      <c r="J345">
        <v>3526</v>
      </c>
      <c r="K345">
        <v>5800</v>
      </c>
      <c r="L345">
        <v>2900</v>
      </c>
      <c r="M345">
        <v>25300</v>
      </c>
      <c r="N345" t="s">
        <v>52</v>
      </c>
      <c r="O345" t="s">
        <v>53</v>
      </c>
      <c r="P345" t="s">
        <v>251</v>
      </c>
      <c r="Q345" t="s">
        <v>259</v>
      </c>
      <c r="R345" t="s">
        <v>260</v>
      </c>
      <c r="S345" t="s">
        <v>30</v>
      </c>
      <c r="T345" t="s">
        <v>31</v>
      </c>
      <c r="U345" t="s">
        <v>30</v>
      </c>
      <c r="V345" t="s">
        <v>31</v>
      </c>
    </row>
    <row r="346" spans="1:22" ht="12.75">
      <c r="A346">
        <v>2015</v>
      </c>
      <c r="B346" t="s">
        <v>112</v>
      </c>
      <c r="C346" t="s">
        <v>23</v>
      </c>
      <c r="D346">
        <f>HYPERLINK("https://www.amazon.com/exec/obidos/ASIN/B01HAQNGIO","R11 CB5-132T")</f>
        <v>0</v>
      </c>
      <c r="E346" t="s">
        <v>48</v>
      </c>
      <c r="F346" t="s">
        <v>49</v>
      </c>
      <c r="G346" t="s">
        <v>248</v>
      </c>
      <c r="H346" t="s">
        <v>43</v>
      </c>
      <c r="I346">
        <v>2</v>
      </c>
      <c r="J346">
        <v>1040</v>
      </c>
      <c r="K346">
        <v>1870</v>
      </c>
      <c r="L346">
        <v>990</v>
      </c>
      <c r="M346">
        <v>8700</v>
      </c>
      <c r="N346" t="s">
        <v>52</v>
      </c>
      <c r="O346" t="s">
        <v>73</v>
      </c>
      <c r="P346" t="s">
        <v>74</v>
      </c>
      <c r="Q346" t="s">
        <v>119</v>
      </c>
      <c r="R346" t="s">
        <v>120</v>
      </c>
      <c r="S346" t="s">
        <v>30</v>
      </c>
      <c r="T346" t="s">
        <v>30</v>
      </c>
      <c r="U346" t="s">
        <v>30</v>
      </c>
      <c r="V346" t="s">
        <v>31</v>
      </c>
    </row>
    <row r="347" spans="1:22" ht="12.75">
      <c r="A347">
        <v>2015</v>
      </c>
      <c r="B347" t="s">
        <v>112</v>
      </c>
      <c r="C347" t="s">
        <v>23</v>
      </c>
      <c r="D347">
        <f>HYPERLINK("https://www.amazon.com/exec/obidos/ASIN/B01J42JPJG","R11 CB5-132T")</f>
        <v>0</v>
      </c>
      <c r="E347" t="s">
        <v>48</v>
      </c>
      <c r="F347" t="s">
        <v>49</v>
      </c>
      <c r="G347" t="s">
        <v>369</v>
      </c>
      <c r="H347" t="s">
        <v>43</v>
      </c>
      <c r="I347">
        <v>4</v>
      </c>
      <c r="J347">
        <v>1530</v>
      </c>
      <c r="K347">
        <v>2920</v>
      </c>
      <c r="L347">
        <v>870</v>
      </c>
      <c r="M347">
        <v>8100</v>
      </c>
      <c r="N347" t="s">
        <v>250</v>
      </c>
      <c r="O347" t="s">
        <v>73</v>
      </c>
      <c r="P347" t="s">
        <v>74</v>
      </c>
      <c r="Q347" t="s">
        <v>119</v>
      </c>
      <c r="R347" t="s">
        <v>120</v>
      </c>
      <c r="S347" t="s">
        <v>30</v>
      </c>
      <c r="T347" t="s">
        <v>30</v>
      </c>
      <c r="U347" t="s">
        <v>30</v>
      </c>
      <c r="V347" t="s">
        <v>31</v>
      </c>
    </row>
    <row r="348" spans="1:22" ht="12.75">
      <c r="A348">
        <v>2015</v>
      </c>
      <c r="B348" t="s">
        <v>112</v>
      </c>
      <c r="C348" t="s">
        <v>23</v>
      </c>
      <c r="D348">
        <f>HYPERLINK("https://www.amazon.com/exec/obidos/ASIN/B06WGR6XWR","R11 CB5-132T")</f>
        <v>0</v>
      </c>
      <c r="E348" t="s">
        <v>48</v>
      </c>
      <c r="F348" t="s">
        <v>49</v>
      </c>
      <c r="G348" t="s">
        <v>302</v>
      </c>
      <c r="H348" t="s">
        <v>43</v>
      </c>
      <c r="I348">
        <v>4</v>
      </c>
      <c r="J348">
        <v>1470</v>
      </c>
      <c r="K348">
        <v>3100</v>
      </c>
      <c r="L348">
        <v>900</v>
      </c>
      <c r="M348" t="s">
        <v>304</v>
      </c>
      <c r="N348" t="s">
        <v>52</v>
      </c>
      <c r="O348" t="s">
        <v>53</v>
      </c>
      <c r="P348" t="s">
        <v>74</v>
      </c>
      <c r="Q348" t="s">
        <v>119</v>
      </c>
      <c r="R348" t="s">
        <v>120</v>
      </c>
      <c r="S348" t="s">
        <v>30</v>
      </c>
      <c r="T348" t="s">
        <v>30</v>
      </c>
      <c r="U348" t="s">
        <v>30</v>
      </c>
      <c r="V348" t="s">
        <v>31</v>
      </c>
    </row>
    <row r="349" spans="1:22" ht="12.75">
      <c r="A349">
        <v>2015</v>
      </c>
      <c r="B349" t="s">
        <v>103</v>
      </c>
      <c r="C349" t="s">
        <v>23</v>
      </c>
      <c r="D349">
        <f>HYPERLINK("https://www.amazon.com/exec/obidos/ASIN/B0174X43LM","R11 C738T")</f>
        <v>0</v>
      </c>
      <c r="E349" t="s">
        <v>48</v>
      </c>
      <c r="F349" t="s">
        <v>49</v>
      </c>
      <c r="G349" t="s">
        <v>369</v>
      </c>
      <c r="H349" t="s">
        <v>43</v>
      </c>
      <c r="I349">
        <v>4</v>
      </c>
      <c r="J349">
        <v>1530</v>
      </c>
      <c r="K349">
        <v>2920</v>
      </c>
      <c r="L349">
        <v>870</v>
      </c>
      <c r="M349" t="s">
        <v>370</v>
      </c>
      <c r="N349" t="s">
        <v>52</v>
      </c>
      <c r="O349" t="s">
        <v>73</v>
      </c>
      <c r="P349" t="s">
        <v>179</v>
      </c>
      <c r="Q349" t="s">
        <v>119</v>
      </c>
      <c r="R349" t="s">
        <v>120</v>
      </c>
      <c r="S349" t="s">
        <v>30</v>
      </c>
      <c r="T349" t="s">
        <v>30</v>
      </c>
      <c r="U349" t="s">
        <v>30</v>
      </c>
      <c r="V349" t="s">
        <v>31</v>
      </c>
    </row>
    <row r="350" spans="1:22" ht="12.75">
      <c r="A350">
        <v>2015</v>
      </c>
      <c r="B350" t="s">
        <v>103</v>
      </c>
      <c r="C350" t="s">
        <v>23</v>
      </c>
      <c r="D350">
        <f>HYPERLINK("https://www.amazon.co.uk/exec/obidos/ASIN/B016B902DS","R11 C738T")</f>
        <v>0</v>
      </c>
      <c r="E350" t="s">
        <v>48</v>
      </c>
      <c r="F350" t="s">
        <v>49</v>
      </c>
      <c r="G350" t="s">
        <v>367</v>
      </c>
      <c r="H350" t="s">
        <v>43</v>
      </c>
      <c r="I350">
        <v>2</v>
      </c>
      <c r="J350">
        <v>890</v>
      </c>
      <c r="K350">
        <v>1680</v>
      </c>
      <c r="L350">
        <v>960</v>
      </c>
      <c r="M350" t="s">
        <v>379</v>
      </c>
      <c r="N350" t="s">
        <v>52</v>
      </c>
      <c r="O350" t="s">
        <v>148</v>
      </c>
      <c r="P350" t="s">
        <v>179</v>
      </c>
      <c r="Q350" t="s">
        <v>119</v>
      </c>
      <c r="R350" t="s">
        <v>120</v>
      </c>
      <c r="S350" t="s">
        <v>30</v>
      </c>
      <c r="T350" t="s">
        <v>30</v>
      </c>
      <c r="U350" t="s">
        <v>30</v>
      </c>
      <c r="V350" t="s">
        <v>31</v>
      </c>
    </row>
    <row r="351" spans="1:22" ht="12.75">
      <c r="A351">
        <v>2015</v>
      </c>
      <c r="B351" t="s">
        <v>135</v>
      </c>
      <c r="C351" t="s">
        <v>32</v>
      </c>
      <c r="D351">
        <f>HYPERLINK("https://www.amazon.com/exec/obidos/ASIN/B017D79OHC","Chromebook C200 (2015)")</f>
        <v>0</v>
      </c>
      <c r="E351" t="s">
        <v>48</v>
      </c>
      <c r="F351" t="s">
        <v>49</v>
      </c>
      <c r="G351" t="s">
        <v>346</v>
      </c>
      <c r="H351" t="s">
        <v>347</v>
      </c>
      <c r="I351">
        <v>2</v>
      </c>
      <c r="J351">
        <v>1148</v>
      </c>
      <c r="K351">
        <v>1667</v>
      </c>
      <c r="L351">
        <v>954</v>
      </c>
      <c r="M351" t="s">
        <v>348</v>
      </c>
      <c r="N351" t="s">
        <v>250</v>
      </c>
      <c r="O351" t="s">
        <v>73</v>
      </c>
      <c r="P351" t="s">
        <v>157</v>
      </c>
      <c r="Q351" t="s">
        <v>54</v>
      </c>
      <c r="R351" t="s">
        <v>55</v>
      </c>
      <c r="S351" t="s">
        <v>31</v>
      </c>
      <c r="T351" t="s">
        <v>31</v>
      </c>
      <c r="U351" t="s">
        <v>30</v>
      </c>
      <c r="V351" t="s">
        <v>31</v>
      </c>
    </row>
    <row r="352" spans="1:22" ht="12.75">
      <c r="A352">
        <v>2015</v>
      </c>
      <c r="B352" t="s">
        <v>83</v>
      </c>
      <c r="C352" t="s">
        <v>32</v>
      </c>
      <c r="D352">
        <f>HYPERLINK("https://www.amazon.com/exec/obidos/ASIN/B00VUV0MG0","Chromebook C201")</f>
        <v>0</v>
      </c>
      <c r="E352" t="s">
        <v>48</v>
      </c>
      <c r="F352" t="s">
        <v>49</v>
      </c>
      <c r="G352" t="s">
        <v>337</v>
      </c>
      <c r="H352" t="s">
        <v>45</v>
      </c>
      <c r="I352">
        <v>4</v>
      </c>
      <c r="J352" t="s">
        <v>26</v>
      </c>
      <c r="K352">
        <v>2500</v>
      </c>
      <c r="L352">
        <v>880</v>
      </c>
      <c r="M352" t="s">
        <v>338</v>
      </c>
      <c r="N352" t="s">
        <v>250</v>
      </c>
      <c r="O352" t="s">
        <v>148</v>
      </c>
      <c r="P352" t="s">
        <v>80</v>
      </c>
      <c r="Q352" t="s">
        <v>391</v>
      </c>
      <c r="R352" t="s">
        <v>392</v>
      </c>
      <c r="S352" t="s">
        <v>31</v>
      </c>
      <c r="T352" t="s">
        <v>31</v>
      </c>
      <c r="U352" t="s">
        <v>30</v>
      </c>
      <c r="V352" t="s">
        <v>31</v>
      </c>
    </row>
    <row r="353" spans="1:22" ht="12.75">
      <c r="A353">
        <v>2015</v>
      </c>
      <c r="B353" t="s">
        <v>135</v>
      </c>
      <c r="C353" t="s">
        <v>32</v>
      </c>
      <c r="D353">
        <f>HYPERLINK("https://www.amazon.com/exec/obidos/ASIN/B015ZD702C","Chromebook C300 (2015)")</f>
        <v>0</v>
      </c>
      <c r="E353" t="s">
        <v>93</v>
      </c>
      <c r="F353" t="s">
        <v>49</v>
      </c>
      <c r="G353" t="s">
        <v>346</v>
      </c>
      <c r="H353" t="s">
        <v>347</v>
      </c>
      <c r="I353">
        <v>2</v>
      </c>
      <c r="J353">
        <v>1148</v>
      </c>
      <c r="K353">
        <v>1667</v>
      </c>
      <c r="L353">
        <v>954</v>
      </c>
      <c r="M353" t="s">
        <v>348</v>
      </c>
      <c r="N353" t="s">
        <v>250</v>
      </c>
      <c r="O353" t="s">
        <v>73</v>
      </c>
      <c r="P353" t="s">
        <v>74</v>
      </c>
      <c r="Q353" t="s">
        <v>191</v>
      </c>
      <c r="R353" t="s">
        <v>111</v>
      </c>
      <c r="S353" t="s">
        <v>31</v>
      </c>
      <c r="T353" t="s">
        <v>31</v>
      </c>
      <c r="U353" t="s">
        <v>30</v>
      </c>
      <c r="V353" t="s">
        <v>31</v>
      </c>
    </row>
    <row r="354" spans="1:22" ht="12.75">
      <c r="A354">
        <v>2015</v>
      </c>
      <c r="B354" t="s">
        <v>92</v>
      </c>
      <c r="C354" t="s">
        <v>32</v>
      </c>
      <c r="D354">
        <f>HYPERLINK("https://www.amazon.com/exec/obidos/ASIN/B00ZS4HK0Q","Chromebook Flip C100PA")</f>
        <v>0</v>
      </c>
      <c r="E354" t="s">
        <v>307</v>
      </c>
      <c r="F354" t="s">
        <v>308</v>
      </c>
      <c r="G354" t="s">
        <v>337</v>
      </c>
      <c r="H354" t="s">
        <v>45</v>
      </c>
      <c r="I354">
        <v>4</v>
      </c>
      <c r="J354" t="s">
        <v>26</v>
      </c>
      <c r="K354">
        <v>2500</v>
      </c>
      <c r="L354">
        <v>880</v>
      </c>
      <c r="M354">
        <v>7400</v>
      </c>
      <c r="N354" t="s">
        <v>250</v>
      </c>
      <c r="O354" t="s">
        <v>148</v>
      </c>
      <c r="P354" t="s">
        <v>251</v>
      </c>
      <c r="Q354" t="s">
        <v>393</v>
      </c>
      <c r="R354" t="s">
        <v>394</v>
      </c>
      <c r="S354" t="s">
        <v>30</v>
      </c>
      <c r="T354" t="s">
        <v>30</v>
      </c>
      <c r="U354" t="s">
        <v>30</v>
      </c>
      <c r="V354" t="s">
        <v>31</v>
      </c>
    </row>
    <row r="355" spans="1:22" ht="12.75">
      <c r="A355">
        <v>2015</v>
      </c>
      <c r="B355" t="s">
        <v>92</v>
      </c>
      <c r="C355" t="s">
        <v>395</v>
      </c>
      <c r="D355">
        <f>HYPERLINK("https://store.oetc.org/items/eg-238972","eduGear K2 / K4")</f>
        <v>0</v>
      </c>
      <c r="E355" t="s">
        <v>48</v>
      </c>
      <c r="F355" t="s">
        <v>49</v>
      </c>
      <c r="G355" t="s">
        <v>337</v>
      </c>
      <c r="H355" t="s">
        <v>45</v>
      </c>
      <c r="I355">
        <v>4</v>
      </c>
      <c r="J355" t="s">
        <v>26</v>
      </c>
      <c r="K355">
        <v>2500</v>
      </c>
      <c r="L355">
        <v>880</v>
      </c>
      <c r="M355" t="s">
        <v>338</v>
      </c>
      <c r="N355" t="s">
        <v>339</v>
      </c>
      <c r="O355" t="s">
        <v>148</v>
      </c>
      <c r="P355" t="s">
        <v>74</v>
      </c>
      <c r="Q355" t="s">
        <v>396</v>
      </c>
      <c r="R355" t="s">
        <v>343</v>
      </c>
      <c r="S355" t="s">
        <v>31</v>
      </c>
      <c r="T355" t="s">
        <v>31</v>
      </c>
      <c r="U355" t="s">
        <v>30</v>
      </c>
      <c r="V355" t="s">
        <v>31</v>
      </c>
    </row>
    <row r="356" spans="1:22" ht="12.75">
      <c r="A356">
        <v>2015</v>
      </c>
      <c r="B356" t="s">
        <v>92</v>
      </c>
      <c r="C356" t="s">
        <v>395</v>
      </c>
      <c r="D356">
        <f>HYPERLINK("https://store.oetc.org/items/eg-238859","eduGear M2 / M4")</f>
        <v>0</v>
      </c>
      <c r="E356" t="s">
        <v>48</v>
      </c>
      <c r="F356" t="s">
        <v>49</v>
      </c>
      <c r="G356" t="s">
        <v>337</v>
      </c>
      <c r="H356" t="s">
        <v>45</v>
      </c>
      <c r="I356">
        <v>4</v>
      </c>
      <c r="J356" t="s">
        <v>26</v>
      </c>
      <c r="K356">
        <v>2500</v>
      </c>
      <c r="L356">
        <v>880</v>
      </c>
      <c r="M356" t="s">
        <v>338</v>
      </c>
      <c r="N356" t="s">
        <v>250</v>
      </c>
      <c r="O356" t="s">
        <v>148</v>
      </c>
      <c r="P356" t="s">
        <v>74</v>
      </c>
      <c r="Q356" t="s">
        <v>26</v>
      </c>
      <c r="R356" t="s">
        <v>26</v>
      </c>
      <c r="S356" t="s">
        <v>31</v>
      </c>
      <c r="T356" t="s">
        <v>31</v>
      </c>
      <c r="U356" t="s">
        <v>30</v>
      </c>
      <c r="V356" t="s">
        <v>31</v>
      </c>
    </row>
    <row r="357" spans="1:22" ht="12.75">
      <c r="A357">
        <v>2015</v>
      </c>
      <c r="B357" t="s">
        <v>92</v>
      </c>
      <c r="C357" t="s">
        <v>395</v>
      </c>
      <c r="D357">
        <f>HYPERLINK("https://store.oetc.org/items/eg-236225","eduGear R4")</f>
        <v>0</v>
      </c>
      <c r="E357" t="s">
        <v>48</v>
      </c>
      <c r="F357" t="s">
        <v>49</v>
      </c>
      <c r="G357" t="s">
        <v>397</v>
      </c>
      <c r="H357" t="s">
        <v>398</v>
      </c>
      <c r="I357">
        <v>4</v>
      </c>
      <c r="J357">
        <v>1790</v>
      </c>
      <c r="K357">
        <v>3000</v>
      </c>
      <c r="L357">
        <v>930</v>
      </c>
      <c r="M357" t="s">
        <v>370</v>
      </c>
      <c r="N357" t="s">
        <v>339</v>
      </c>
      <c r="O357" t="s">
        <v>148</v>
      </c>
      <c r="P357" t="s">
        <v>74</v>
      </c>
      <c r="Q357" t="s">
        <v>26</v>
      </c>
      <c r="R357" t="s">
        <v>26</v>
      </c>
      <c r="S357" t="s">
        <v>31</v>
      </c>
      <c r="T357" t="s">
        <v>31</v>
      </c>
      <c r="U357" t="s">
        <v>30</v>
      </c>
      <c r="V357" t="s">
        <v>31</v>
      </c>
    </row>
    <row r="358" spans="1:22" ht="12.75">
      <c r="A358">
        <v>2015</v>
      </c>
      <c r="B358" t="s">
        <v>92</v>
      </c>
      <c r="C358" t="s">
        <v>395</v>
      </c>
      <c r="D358">
        <f>HYPERLINK("https://store.oetc.org/item/eg-280846","eduGear CMT")</f>
        <v>0</v>
      </c>
      <c r="E358" t="s">
        <v>48</v>
      </c>
      <c r="F358" t="s">
        <v>49</v>
      </c>
      <c r="G358" t="s">
        <v>248</v>
      </c>
      <c r="H358" t="s">
        <v>43</v>
      </c>
      <c r="I358">
        <v>2</v>
      </c>
      <c r="J358">
        <v>1040</v>
      </c>
      <c r="K358">
        <v>1870</v>
      </c>
      <c r="L358">
        <v>990</v>
      </c>
      <c r="M358" t="s">
        <v>399</v>
      </c>
      <c r="N358" t="s">
        <v>52</v>
      </c>
      <c r="O358" t="s">
        <v>53</v>
      </c>
      <c r="P358" t="s">
        <v>74</v>
      </c>
      <c r="Q358" t="s">
        <v>26</v>
      </c>
      <c r="R358" t="s">
        <v>26</v>
      </c>
      <c r="S358" t="s">
        <v>30</v>
      </c>
      <c r="T358" t="s">
        <v>30</v>
      </c>
      <c r="U358" t="s">
        <v>30</v>
      </c>
      <c r="V358" t="s">
        <v>31</v>
      </c>
    </row>
    <row r="359" spans="1:22" ht="12.75">
      <c r="A359">
        <v>2015</v>
      </c>
      <c r="B359" t="s">
        <v>121</v>
      </c>
      <c r="C359" t="s">
        <v>47</v>
      </c>
      <c r="D359">
        <f>HYPERLINK("https://www.amazon.com/exec/obidos/ASIN/B011JC55TS","Chromebook J2/J4")</f>
        <v>0</v>
      </c>
      <c r="E359" t="s">
        <v>48</v>
      </c>
      <c r="F359" t="s">
        <v>49</v>
      </c>
      <c r="G359" t="s">
        <v>337</v>
      </c>
      <c r="H359" t="s">
        <v>45</v>
      </c>
      <c r="I359">
        <v>4</v>
      </c>
      <c r="J359" t="s">
        <v>26</v>
      </c>
      <c r="K359">
        <v>2500</v>
      </c>
      <c r="L359">
        <v>880</v>
      </c>
      <c r="M359">
        <v>7700</v>
      </c>
      <c r="N359" t="s">
        <v>250</v>
      </c>
      <c r="O359" t="s">
        <v>148</v>
      </c>
      <c r="P359" t="s">
        <v>100</v>
      </c>
      <c r="Q359" t="s">
        <v>210</v>
      </c>
      <c r="R359" t="s">
        <v>211</v>
      </c>
      <c r="S359" t="s">
        <v>31</v>
      </c>
      <c r="T359" t="s">
        <v>31</v>
      </c>
      <c r="U359" t="s">
        <v>30</v>
      </c>
      <c r="V359" t="s">
        <v>31</v>
      </c>
    </row>
    <row r="360" spans="1:22" ht="12.75">
      <c r="A360">
        <v>2015</v>
      </c>
      <c r="B360" t="s">
        <v>136</v>
      </c>
      <c r="C360" t="s">
        <v>47</v>
      </c>
      <c r="D360">
        <f>HYPERLINK("https://www.amazon.com/exec/obidos/ASIN/B01A7OWY3Y","Chromebook J4 Plus")</f>
        <v>0</v>
      </c>
      <c r="E360" t="s">
        <v>48</v>
      </c>
      <c r="F360" t="s">
        <v>49</v>
      </c>
      <c r="G360" t="s">
        <v>337</v>
      </c>
      <c r="H360" t="s">
        <v>45</v>
      </c>
      <c r="I360">
        <v>4</v>
      </c>
      <c r="J360" t="s">
        <v>26</v>
      </c>
      <c r="K360">
        <v>2500</v>
      </c>
      <c r="L360">
        <v>880</v>
      </c>
      <c r="M360">
        <v>7700</v>
      </c>
      <c r="N360" t="s">
        <v>52</v>
      </c>
      <c r="O360" t="s">
        <v>148</v>
      </c>
      <c r="P360" t="s">
        <v>100</v>
      </c>
      <c r="Q360" t="s">
        <v>396</v>
      </c>
      <c r="R360" t="s">
        <v>343</v>
      </c>
      <c r="S360" t="s">
        <v>30</v>
      </c>
      <c r="T360" t="s">
        <v>31</v>
      </c>
      <c r="U360" t="s">
        <v>30</v>
      </c>
      <c r="V360" t="s">
        <v>31</v>
      </c>
    </row>
    <row r="361" spans="1:22" ht="12.75">
      <c r="A361">
        <v>2015</v>
      </c>
      <c r="B361" t="s">
        <v>135</v>
      </c>
      <c r="C361" t="s">
        <v>47</v>
      </c>
      <c r="D361">
        <f>HYPERLINK("https://www.amazon.com/exec/obidos/ASIN/B00T53K2E2","NL6 (2015)")</f>
        <v>0</v>
      </c>
      <c r="E361" t="s">
        <v>48</v>
      </c>
      <c r="F361" t="s">
        <v>49</v>
      </c>
      <c r="G361" t="s">
        <v>397</v>
      </c>
      <c r="H361" t="s">
        <v>398</v>
      </c>
      <c r="I361">
        <v>4</v>
      </c>
      <c r="J361">
        <v>1790</v>
      </c>
      <c r="K361">
        <v>3000</v>
      </c>
      <c r="L361">
        <v>930</v>
      </c>
      <c r="M361" t="s">
        <v>370</v>
      </c>
      <c r="N361" t="s">
        <v>52</v>
      </c>
      <c r="O361" t="s">
        <v>148</v>
      </c>
      <c r="P361" t="s">
        <v>100</v>
      </c>
      <c r="Q361" t="s">
        <v>351</v>
      </c>
      <c r="R361" t="s">
        <v>352</v>
      </c>
      <c r="S361" t="s">
        <v>31</v>
      </c>
      <c r="T361" t="s">
        <v>31</v>
      </c>
      <c r="U361" t="s">
        <v>30</v>
      </c>
      <c r="V361" t="s">
        <v>31</v>
      </c>
    </row>
    <row r="362" spans="1:22" ht="12.75">
      <c r="A362">
        <v>2015</v>
      </c>
      <c r="B362" t="s">
        <v>46</v>
      </c>
      <c r="C362" t="s">
        <v>190</v>
      </c>
      <c r="D362">
        <f>HYPERLINK("https://www.amazon.com/exec/obidos/ASIN/B00FBBUIDM","Chromebook 11 (2015)")</f>
        <v>0</v>
      </c>
      <c r="E362" t="s">
        <v>48</v>
      </c>
      <c r="F362" t="s">
        <v>49</v>
      </c>
      <c r="G362" t="s">
        <v>346</v>
      </c>
      <c r="H362" t="s">
        <v>347</v>
      </c>
      <c r="I362">
        <v>2</v>
      </c>
      <c r="J362">
        <v>1148</v>
      </c>
      <c r="K362">
        <v>1667</v>
      </c>
      <c r="L362">
        <v>954</v>
      </c>
      <c r="M362" t="s">
        <v>348</v>
      </c>
      <c r="N362" t="s">
        <v>250</v>
      </c>
      <c r="O362" t="s">
        <v>148</v>
      </c>
      <c r="P362" t="s">
        <v>74</v>
      </c>
      <c r="Q362" t="s">
        <v>400</v>
      </c>
      <c r="R362" t="s">
        <v>120</v>
      </c>
      <c r="S362" t="s">
        <v>31</v>
      </c>
      <c r="T362" t="s">
        <v>31</v>
      </c>
      <c r="U362" t="s">
        <v>30</v>
      </c>
      <c r="V362" t="s">
        <v>31</v>
      </c>
    </row>
    <row r="363" spans="1:22" ht="12.75">
      <c r="A363">
        <v>2015</v>
      </c>
      <c r="B363" t="s">
        <v>46</v>
      </c>
      <c r="C363" t="s">
        <v>190</v>
      </c>
      <c r="D363">
        <f>HYPERLINK("https://www.amazon.com/exec/obidos/ASIN/B01E8QS27Y"," Chromebook 11 (2015)")</f>
        <v>0</v>
      </c>
      <c r="E363" t="s">
        <v>48</v>
      </c>
      <c r="F363" t="s">
        <v>49</v>
      </c>
      <c r="G363" t="s">
        <v>346</v>
      </c>
      <c r="H363" t="s">
        <v>347</v>
      </c>
      <c r="I363">
        <v>2</v>
      </c>
      <c r="J363">
        <v>1148</v>
      </c>
      <c r="K363">
        <v>1667</v>
      </c>
      <c r="L363">
        <v>954</v>
      </c>
      <c r="M363" t="s">
        <v>348</v>
      </c>
      <c r="N363" t="s">
        <v>250</v>
      </c>
      <c r="O363" t="s">
        <v>148</v>
      </c>
      <c r="P363" t="s">
        <v>74</v>
      </c>
      <c r="Q363" t="s">
        <v>68</v>
      </c>
      <c r="R363" t="s">
        <v>69</v>
      </c>
      <c r="S363" t="s">
        <v>31</v>
      </c>
      <c r="T363" t="s">
        <v>30</v>
      </c>
      <c r="U363" t="s">
        <v>30</v>
      </c>
      <c r="V363" t="s">
        <v>31</v>
      </c>
    </row>
    <row r="364" spans="1:22" ht="12.75">
      <c r="A364">
        <v>2015</v>
      </c>
      <c r="B364" t="s">
        <v>112</v>
      </c>
      <c r="C364" t="s">
        <v>190</v>
      </c>
      <c r="D364">
        <f>HYPERLINK("http://www.dell.com/en-us/work/shop/cty/dell-chromebook-13/spd/chromebook-13-7310","Chromebook 13")</f>
        <v>0</v>
      </c>
      <c r="E364" t="s">
        <v>93</v>
      </c>
      <c r="F364" t="s">
        <v>34</v>
      </c>
      <c r="G364" t="s">
        <v>381</v>
      </c>
      <c r="H364" t="s">
        <v>209</v>
      </c>
      <c r="I364">
        <v>2</v>
      </c>
      <c r="J364">
        <v>1700</v>
      </c>
      <c r="K364">
        <v>2600</v>
      </c>
      <c r="L364">
        <v>1490</v>
      </c>
      <c r="M364">
        <v>14600</v>
      </c>
      <c r="N364" t="s">
        <v>52</v>
      </c>
      <c r="O364" t="s">
        <v>148</v>
      </c>
      <c r="P364" t="s">
        <v>29</v>
      </c>
      <c r="Q364" t="s">
        <v>182</v>
      </c>
      <c r="R364" t="s">
        <v>183</v>
      </c>
      <c r="S364" t="s">
        <v>30</v>
      </c>
      <c r="T364" t="s">
        <v>31</v>
      </c>
      <c r="U364" t="s">
        <v>30</v>
      </c>
      <c r="V364" t="s">
        <v>31</v>
      </c>
    </row>
    <row r="365" spans="1:22" ht="12.75">
      <c r="A365">
        <v>2015</v>
      </c>
      <c r="B365" t="s">
        <v>112</v>
      </c>
      <c r="C365" t="s">
        <v>190</v>
      </c>
      <c r="D365">
        <f>HYPERLINK("https://www.amazon.com/exec/obidos/ASIN/B01FEI9QGG","Chromebook 13")</f>
        <v>0</v>
      </c>
      <c r="E365" t="s">
        <v>93</v>
      </c>
      <c r="F365" t="s">
        <v>34</v>
      </c>
      <c r="G365" t="s">
        <v>385</v>
      </c>
      <c r="H365" t="s">
        <v>88</v>
      </c>
      <c r="I365">
        <v>2</v>
      </c>
      <c r="J365">
        <v>2920</v>
      </c>
      <c r="K365">
        <v>4500</v>
      </c>
      <c r="L365">
        <v>2100</v>
      </c>
      <c r="M365">
        <v>20300</v>
      </c>
      <c r="N365" t="s">
        <v>27</v>
      </c>
      <c r="O365" t="s">
        <v>73</v>
      </c>
      <c r="P365" t="s">
        <v>29</v>
      </c>
      <c r="Q365" t="s">
        <v>182</v>
      </c>
      <c r="R365" t="s">
        <v>183</v>
      </c>
      <c r="S365" t="s">
        <v>30</v>
      </c>
      <c r="T365" t="s">
        <v>31</v>
      </c>
      <c r="U365" t="s">
        <v>30</v>
      </c>
      <c r="V365" t="s">
        <v>31</v>
      </c>
    </row>
    <row r="366" spans="1:22" ht="12.75">
      <c r="A366">
        <v>2015</v>
      </c>
      <c r="B366" t="s">
        <v>112</v>
      </c>
      <c r="C366" t="s">
        <v>190</v>
      </c>
      <c r="D366">
        <f aca="true" t="shared" si="14" ref="D366:D368">HYPERLINK("http://www.dell.com/en-us/work/shop/cty/dell-chromebook-13/spd/chromebook-13-7310","Chromebook 13")</f>
        <v>0</v>
      </c>
      <c r="E366" t="s">
        <v>93</v>
      </c>
      <c r="F366" t="s">
        <v>34</v>
      </c>
      <c r="G366" t="s">
        <v>385</v>
      </c>
      <c r="H366" t="s">
        <v>88</v>
      </c>
      <c r="I366">
        <v>2</v>
      </c>
      <c r="J366">
        <v>2920</v>
      </c>
      <c r="K366">
        <v>4500</v>
      </c>
      <c r="L366">
        <v>2100</v>
      </c>
      <c r="M366">
        <v>20300</v>
      </c>
      <c r="N366" t="s">
        <v>52</v>
      </c>
      <c r="O366" t="s">
        <v>53</v>
      </c>
      <c r="P366" t="s">
        <v>29</v>
      </c>
      <c r="Q366" t="s">
        <v>401</v>
      </c>
      <c r="R366" t="s">
        <v>402</v>
      </c>
      <c r="S366" t="s">
        <v>30</v>
      </c>
      <c r="T366" t="s">
        <v>30</v>
      </c>
      <c r="U366" t="s">
        <v>30</v>
      </c>
      <c r="V366" t="s">
        <v>31</v>
      </c>
    </row>
    <row r="367" spans="1:22" ht="12.75">
      <c r="A367">
        <v>2015</v>
      </c>
      <c r="B367" t="s">
        <v>112</v>
      </c>
      <c r="C367" t="s">
        <v>190</v>
      </c>
      <c r="D367">
        <f t="shared" si="14"/>
        <v>0</v>
      </c>
      <c r="E367" t="s">
        <v>93</v>
      </c>
      <c r="F367" t="s">
        <v>34</v>
      </c>
      <c r="G367" t="s">
        <v>403</v>
      </c>
      <c r="H367" t="s">
        <v>138</v>
      </c>
      <c r="I367">
        <v>2</v>
      </c>
      <c r="J367">
        <v>3800</v>
      </c>
      <c r="K367">
        <v>6100</v>
      </c>
      <c r="L367">
        <v>3050</v>
      </c>
      <c r="M367" t="s">
        <v>404</v>
      </c>
      <c r="N367" t="s">
        <v>98</v>
      </c>
      <c r="O367" t="s">
        <v>53</v>
      </c>
      <c r="P367" t="s">
        <v>29</v>
      </c>
      <c r="Q367" t="s">
        <v>182</v>
      </c>
      <c r="R367" t="s">
        <v>183</v>
      </c>
      <c r="S367" t="s">
        <v>30</v>
      </c>
      <c r="T367" t="s">
        <v>31</v>
      </c>
      <c r="U367" t="s">
        <v>30</v>
      </c>
      <c r="V367" t="s">
        <v>31</v>
      </c>
    </row>
    <row r="368" spans="1:22" ht="12.75">
      <c r="A368">
        <v>2015</v>
      </c>
      <c r="B368" t="s">
        <v>112</v>
      </c>
      <c r="C368" t="s">
        <v>190</v>
      </c>
      <c r="D368">
        <f t="shared" si="14"/>
        <v>0</v>
      </c>
      <c r="E368" t="s">
        <v>93</v>
      </c>
      <c r="F368" t="s">
        <v>34</v>
      </c>
      <c r="G368" t="s">
        <v>403</v>
      </c>
      <c r="H368" t="s">
        <v>138</v>
      </c>
      <c r="I368">
        <v>2</v>
      </c>
      <c r="J368">
        <v>3800</v>
      </c>
      <c r="K368">
        <v>6100</v>
      </c>
      <c r="L368">
        <v>3050</v>
      </c>
      <c r="M368" t="s">
        <v>404</v>
      </c>
      <c r="N368" t="s">
        <v>98</v>
      </c>
      <c r="O368" t="s">
        <v>53</v>
      </c>
      <c r="P368" t="s">
        <v>29</v>
      </c>
      <c r="Q368" t="s">
        <v>401</v>
      </c>
      <c r="R368" t="s">
        <v>402</v>
      </c>
      <c r="S368" t="s">
        <v>30</v>
      </c>
      <c r="T368" t="s">
        <v>30</v>
      </c>
      <c r="U368" t="s">
        <v>30</v>
      </c>
      <c r="V368" t="s">
        <v>31</v>
      </c>
    </row>
    <row r="369" spans="1:22" ht="12.75">
      <c r="A369">
        <v>2015</v>
      </c>
      <c r="B369" t="s">
        <v>22</v>
      </c>
      <c r="C369" t="s">
        <v>206</v>
      </c>
      <c r="D369">
        <f>HYPERLINK("https://www.amazon.com/exec/obidos/ASIN/B00V57SARW","Pixel (2015)")</f>
        <v>0</v>
      </c>
      <c r="E369" t="s">
        <v>405</v>
      </c>
      <c r="F369" t="s">
        <v>406</v>
      </c>
      <c r="G369" t="s">
        <v>387</v>
      </c>
      <c r="H369" t="s">
        <v>142</v>
      </c>
      <c r="I369">
        <v>2</v>
      </c>
      <c r="J369">
        <v>3630</v>
      </c>
      <c r="K369">
        <v>5800</v>
      </c>
      <c r="L369">
        <v>2900</v>
      </c>
      <c r="M369">
        <v>25000</v>
      </c>
      <c r="N369" t="s">
        <v>98</v>
      </c>
      <c r="O369" t="s">
        <v>53</v>
      </c>
      <c r="P369" t="s">
        <v>29</v>
      </c>
      <c r="Q369" t="s">
        <v>331</v>
      </c>
      <c r="R369" t="s">
        <v>116</v>
      </c>
      <c r="S369" t="s">
        <v>30</v>
      </c>
      <c r="T369" t="s">
        <v>30</v>
      </c>
      <c r="U369" t="s">
        <v>30</v>
      </c>
      <c r="V369" t="s">
        <v>31</v>
      </c>
    </row>
    <row r="370" spans="1:22" ht="12.75">
      <c r="A370">
        <v>2015</v>
      </c>
      <c r="B370" t="s">
        <v>22</v>
      </c>
      <c r="C370" t="s">
        <v>206</v>
      </c>
      <c r="D370">
        <f>HYPERLINK("https://www.amazon.com/exec/obidos/ASIN/B00VKTRXYG","Pixel LS (2015)")</f>
        <v>0</v>
      </c>
      <c r="E370" t="s">
        <v>405</v>
      </c>
      <c r="F370" t="s">
        <v>406</v>
      </c>
      <c r="G370" t="s">
        <v>407</v>
      </c>
      <c r="H370" t="s">
        <v>372</v>
      </c>
      <c r="I370">
        <v>2</v>
      </c>
      <c r="J370">
        <v>4055</v>
      </c>
      <c r="K370">
        <v>6700</v>
      </c>
      <c r="L370">
        <v>3160</v>
      </c>
      <c r="M370">
        <v>28000</v>
      </c>
      <c r="N370" t="s">
        <v>148</v>
      </c>
      <c r="O370" t="s">
        <v>109</v>
      </c>
      <c r="P370" t="s">
        <v>29</v>
      </c>
      <c r="Q370" t="s">
        <v>331</v>
      </c>
      <c r="R370" t="s">
        <v>116</v>
      </c>
      <c r="S370" t="s">
        <v>30</v>
      </c>
      <c r="T370" t="s">
        <v>30</v>
      </c>
      <c r="U370" t="s">
        <v>30</v>
      </c>
      <c r="V370" t="s">
        <v>31</v>
      </c>
    </row>
    <row r="371" spans="1:22" ht="12.75">
      <c r="A371">
        <v>2015</v>
      </c>
      <c r="B371" t="s">
        <v>121</v>
      </c>
      <c r="C371" t="s">
        <v>408</v>
      </c>
      <c r="D371">
        <f>HYPERLINK("https://www.amazon.com/exec/obidos/ASIN/B00V3DYVLM","Chromebook 11")</f>
        <v>0</v>
      </c>
      <c r="E371" t="s">
        <v>48</v>
      </c>
      <c r="F371" t="s">
        <v>49</v>
      </c>
      <c r="G371" t="s">
        <v>337</v>
      </c>
      <c r="H371" t="s">
        <v>45</v>
      </c>
      <c r="I371">
        <v>4</v>
      </c>
      <c r="J371" t="s">
        <v>26</v>
      </c>
      <c r="K371">
        <v>2500</v>
      </c>
      <c r="L371">
        <v>880</v>
      </c>
      <c r="M371" t="s">
        <v>338</v>
      </c>
      <c r="N371" t="s">
        <v>339</v>
      </c>
      <c r="O371" t="s">
        <v>148</v>
      </c>
      <c r="P371" t="s">
        <v>74</v>
      </c>
      <c r="Q371" t="s">
        <v>265</v>
      </c>
      <c r="R371" t="s">
        <v>266</v>
      </c>
      <c r="S371" t="s">
        <v>31</v>
      </c>
      <c r="T371" t="s">
        <v>31</v>
      </c>
      <c r="U371" t="s">
        <v>30</v>
      </c>
      <c r="V371" t="s">
        <v>31</v>
      </c>
    </row>
    <row r="372" spans="1:22" ht="12.75">
      <c r="A372">
        <v>2015</v>
      </c>
      <c r="B372" t="s">
        <v>121</v>
      </c>
      <c r="C372" t="s">
        <v>408</v>
      </c>
      <c r="D372">
        <f>HYPERLINK("http://www.hktdc.com/suppliers-products/Haier-Chromebook-11E/en/1X097VJW/2839563/","Chromebook 11e")</f>
        <v>0</v>
      </c>
      <c r="E372" t="s">
        <v>48</v>
      </c>
      <c r="F372" t="s">
        <v>49</v>
      </c>
      <c r="G372" t="s">
        <v>337</v>
      </c>
      <c r="H372" t="s">
        <v>45</v>
      </c>
      <c r="I372">
        <v>4</v>
      </c>
      <c r="J372" t="s">
        <v>26</v>
      </c>
      <c r="K372">
        <v>2500</v>
      </c>
      <c r="L372">
        <v>880</v>
      </c>
      <c r="M372" t="s">
        <v>338</v>
      </c>
      <c r="N372" t="s">
        <v>339</v>
      </c>
      <c r="O372" t="s">
        <v>148</v>
      </c>
      <c r="P372" t="s">
        <v>74</v>
      </c>
      <c r="Q372" t="s">
        <v>119</v>
      </c>
      <c r="R372" t="s">
        <v>120</v>
      </c>
      <c r="S372" t="s">
        <v>31</v>
      </c>
      <c r="T372" t="s">
        <v>31</v>
      </c>
      <c r="U372" t="s">
        <v>30</v>
      </c>
      <c r="V372" t="s">
        <v>31</v>
      </c>
    </row>
    <row r="373" spans="1:22" ht="12.75">
      <c r="A373">
        <v>2015</v>
      </c>
      <c r="B373" t="s">
        <v>124</v>
      </c>
      <c r="C373" t="s">
        <v>408</v>
      </c>
      <c r="D373">
        <f>HYPERLINK("https://www.amazon.com/exec/obidos/ASIN/B0177F25JE","Chromebook 11 G2")</f>
        <v>0</v>
      </c>
      <c r="E373" t="s">
        <v>48</v>
      </c>
      <c r="F373" t="s">
        <v>49</v>
      </c>
      <c r="G373" t="s">
        <v>346</v>
      </c>
      <c r="H373" t="s">
        <v>347</v>
      </c>
      <c r="I373">
        <v>2</v>
      </c>
      <c r="J373">
        <v>1148</v>
      </c>
      <c r="K373">
        <v>1667</v>
      </c>
      <c r="L373">
        <v>954</v>
      </c>
      <c r="M373" t="s">
        <v>348</v>
      </c>
      <c r="N373" t="s">
        <v>339</v>
      </c>
      <c r="O373" t="s">
        <v>148</v>
      </c>
      <c r="P373" t="s">
        <v>74</v>
      </c>
      <c r="Q373" t="s">
        <v>409</v>
      </c>
      <c r="R373" t="s">
        <v>306</v>
      </c>
      <c r="S373" t="s">
        <v>31</v>
      </c>
      <c r="T373" t="s">
        <v>31</v>
      </c>
      <c r="U373" t="s">
        <v>30</v>
      </c>
      <c r="V373" t="s">
        <v>31</v>
      </c>
    </row>
    <row r="374" spans="1:22" ht="12.75">
      <c r="A374">
        <v>2015</v>
      </c>
      <c r="B374" t="s">
        <v>121</v>
      </c>
      <c r="C374" t="s">
        <v>410</v>
      </c>
      <c r="D374">
        <f>HYPERLINK("https://www.amazon.com/exec/obidos/ASIN/B014Q70MHI","Chromebook (C11/12)")</f>
        <v>0</v>
      </c>
      <c r="E374" t="s">
        <v>48</v>
      </c>
      <c r="F374" t="s">
        <v>49</v>
      </c>
      <c r="G374" t="s">
        <v>337</v>
      </c>
      <c r="H374" t="s">
        <v>45</v>
      </c>
      <c r="I374">
        <v>4</v>
      </c>
      <c r="J374" t="s">
        <v>26</v>
      </c>
      <c r="K374">
        <v>2500</v>
      </c>
      <c r="L374">
        <v>880</v>
      </c>
      <c r="M374">
        <v>7100</v>
      </c>
      <c r="N374" t="s">
        <v>339</v>
      </c>
      <c r="O374" t="s">
        <v>73</v>
      </c>
      <c r="P374" t="s">
        <v>341</v>
      </c>
      <c r="Q374" t="s">
        <v>265</v>
      </c>
      <c r="R374" t="s">
        <v>266</v>
      </c>
      <c r="S374" t="s">
        <v>31</v>
      </c>
      <c r="T374" t="s">
        <v>31</v>
      </c>
      <c r="U374" t="s">
        <v>30</v>
      </c>
      <c r="V374" t="s">
        <v>31</v>
      </c>
    </row>
    <row r="375" spans="1:22" ht="12.75">
      <c r="A375">
        <v>2015</v>
      </c>
      <c r="B375" t="s">
        <v>112</v>
      </c>
      <c r="C375" t="s">
        <v>64</v>
      </c>
      <c r="D375">
        <f>HYPERLINK("https://www.amazon.com/exec/obidos/ASIN/B015S1ACQC","Chromebook 11 G4")</f>
        <v>0</v>
      </c>
      <c r="E375" t="s">
        <v>48</v>
      </c>
      <c r="F375" t="s">
        <v>49</v>
      </c>
      <c r="G375" t="s">
        <v>346</v>
      </c>
      <c r="H375" t="s">
        <v>347</v>
      </c>
      <c r="I375">
        <v>2</v>
      </c>
      <c r="J375">
        <v>1148</v>
      </c>
      <c r="K375">
        <v>1667</v>
      </c>
      <c r="L375">
        <v>954</v>
      </c>
      <c r="M375" t="s">
        <v>348</v>
      </c>
      <c r="N375" t="s">
        <v>250</v>
      </c>
      <c r="O375" t="s">
        <v>73</v>
      </c>
      <c r="P375" t="s">
        <v>179</v>
      </c>
      <c r="Q375" t="s">
        <v>270</v>
      </c>
      <c r="R375" t="s">
        <v>271</v>
      </c>
      <c r="S375" t="s">
        <v>31</v>
      </c>
      <c r="T375" t="s">
        <v>31</v>
      </c>
      <c r="U375" t="s">
        <v>30</v>
      </c>
      <c r="V375" t="s">
        <v>31</v>
      </c>
    </row>
    <row r="376" spans="1:22" ht="12.75">
      <c r="A376">
        <v>2015</v>
      </c>
      <c r="B376" t="s">
        <v>124</v>
      </c>
      <c r="C376" t="s">
        <v>64</v>
      </c>
      <c r="D376">
        <f>HYPERLINK("https://www.amazon.com/exec/obidos/ASIN/B01684NGX4","Chromebook 14")</f>
        <v>0</v>
      </c>
      <c r="E376" t="s">
        <v>33</v>
      </c>
      <c r="F376" t="s">
        <v>49</v>
      </c>
      <c r="G376" t="s">
        <v>346</v>
      </c>
      <c r="H376" t="s">
        <v>347</v>
      </c>
      <c r="I376">
        <v>2</v>
      </c>
      <c r="J376">
        <v>1148</v>
      </c>
      <c r="K376">
        <v>1667</v>
      </c>
      <c r="L376">
        <v>954</v>
      </c>
      <c r="M376" t="s">
        <v>348</v>
      </c>
      <c r="N376" t="s">
        <v>250</v>
      </c>
      <c r="O376" t="s">
        <v>148</v>
      </c>
      <c r="P376" t="s">
        <v>251</v>
      </c>
      <c r="Q376" t="s">
        <v>291</v>
      </c>
      <c r="R376" t="s">
        <v>292</v>
      </c>
      <c r="S376" t="s">
        <v>31</v>
      </c>
      <c r="T376" t="s">
        <v>31</v>
      </c>
      <c r="U376" t="s">
        <v>358</v>
      </c>
      <c r="V376" t="s">
        <v>31</v>
      </c>
    </row>
    <row r="377" spans="1:22" ht="12.75">
      <c r="A377">
        <v>2015</v>
      </c>
      <c r="B377" t="s">
        <v>124</v>
      </c>
      <c r="C377" t="s">
        <v>64</v>
      </c>
      <c r="D377">
        <f>HYPERLINK("https://www.amazon.com/exec/obidos/ASIN/B015ZD71P8","Chromebook 14")</f>
        <v>0</v>
      </c>
      <c r="E377" t="s">
        <v>33</v>
      </c>
      <c r="F377" t="s">
        <v>34</v>
      </c>
      <c r="G377" t="s">
        <v>397</v>
      </c>
      <c r="H377" t="s">
        <v>398</v>
      </c>
      <c r="I377">
        <v>4</v>
      </c>
      <c r="J377">
        <v>1790</v>
      </c>
      <c r="K377">
        <v>3000</v>
      </c>
      <c r="L377">
        <v>930</v>
      </c>
      <c r="M377">
        <v>8200</v>
      </c>
      <c r="N377" t="s">
        <v>52</v>
      </c>
      <c r="O377" t="s">
        <v>148</v>
      </c>
      <c r="P377" t="s">
        <v>251</v>
      </c>
      <c r="Q377" t="s">
        <v>291</v>
      </c>
      <c r="R377" t="s">
        <v>292</v>
      </c>
      <c r="S377" t="s">
        <v>30</v>
      </c>
      <c r="T377" t="s">
        <v>31</v>
      </c>
      <c r="U377" t="s">
        <v>358</v>
      </c>
      <c r="V377" t="s">
        <v>31</v>
      </c>
    </row>
    <row r="378" spans="1:22" ht="12.75">
      <c r="A378">
        <v>2015</v>
      </c>
      <c r="B378" t="s">
        <v>103</v>
      </c>
      <c r="C378" t="s">
        <v>64</v>
      </c>
      <c r="D378">
        <f>HYPERLINK("https://www.amazon.com/exec/obidos/ASIN/B016J9LHSO","Chromebook 14 G4")</f>
        <v>0</v>
      </c>
      <c r="E378" t="s">
        <v>33</v>
      </c>
      <c r="F378" t="s">
        <v>49</v>
      </c>
      <c r="G378" t="s">
        <v>346</v>
      </c>
      <c r="H378" t="s">
        <v>347</v>
      </c>
      <c r="I378">
        <v>2</v>
      </c>
      <c r="J378">
        <v>1148</v>
      </c>
      <c r="K378">
        <v>1667</v>
      </c>
      <c r="L378">
        <v>954</v>
      </c>
      <c r="M378">
        <v>8500</v>
      </c>
      <c r="N378" t="s">
        <v>250</v>
      </c>
      <c r="O378" t="s">
        <v>73</v>
      </c>
      <c r="P378" t="s">
        <v>100</v>
      </c>
      <c r="Q378" t="s">
        <v>411</v>
      </c>
      <c r="R378" t="s">
        <v>412</v>
      </c>
      <c r="S378" t="s">
        <v>31</v>
      </c>
      <c r="T378" t="s">
        <v>31</v>
      </c>
      <c r="U378" t="s">
        <v>30</v>
      </c>
      <c r="V378" t="s">
        <v>31</v>
      </c>
    </row>
    <row r="379" spans="1:22" ht="12.75">
      <c r="A379">
        <v>2015</v>
      </c>
      <c r="B379" t="s">
        <v>103</v>
      </c>
      <c r="C379" t="s">
        <v>64</v>
      </c>
      <c r="D379">
        <f>HYPERLINK("https://www.amazon.com/exec/obidos/ASIN/B0163IL6YG","Chromebook 14 G4")</f>
        <v>0</v>
      </c>
      <c r="E379" t="s">
        <v>33</v>
      </c>
      <c r="F379" t="s">
        <v>34</v>
      </c>
      <c r="G379" t="s">
        <v>397</v>
      </c>
      <c r="H379" t="s">
        <v>398</v>
      </c>
      <c r="I379">
        <v>4</v>
      </c>
      <c r="J379">
        <v>1790</v>
      </c>
      <c r="K379">
        <v>3000</v>
      </c>
      <c r="L379">
        <v>930</v>
      </c>
      <c r="M379" t="s">
        <v>356</v>
      </c>
      <c r="N379" t="s">
        <v>52</v>
      </c>
      <c r="O379" t="s">
        <v>73</v>
      </c>
      <c r="P379" t="s">
        <v>100</v>
      </c>
      <c r="Q379" t="s">
        <v>411</v>
      </c>
      <c r="R379" t="s">
        <v>412</v>
      </c>
      <c r="S379" t="s">
        <v>30</v>
      </c>
      <c r="T379" t="s">
        <v>31</v>
      </c>
      <c r="U379" t="s">
        <v>30</v>
      </c>
      <c r="V379" t="s">
        <v>31</v>
      </c>
    </row>
    <row r="380" spans="1:22" ht="12.75">
      <c r="A380">
        <v>2015</v>
      </c>
      <c r="B380" t="s">
        <v>83</v>
      </c>
      <c r="C380" t="s">
        <v>413</v>
      </c>
      <c r="D380">
        <f>HYPERLINK("http://www.xolo.in/laptops/chrome-book","Xolo")</f>
        <v>0</v>
      </c>
      <c r="E380" t="s">
        <v>48</v>
      </c>
      <c r="F380" t="s">
        <v>49</v>
      </c>
      <c r="G380" t="s">
        <v>337</v>
      </c>
      <c r="H380" t="s">
        <v>45</v>
      </c>
      <c r="I380">
        <v>4</v>
      </c>
      <c r="J380" t="s">
        <v>26</v>
      </c>
      <c r="K380">
        <v>2500</v>
      </c>
      <c r="L380">
        <v>880</v>
      </c>
      <c r="M380" t="s">
        <v>338</v>
      </c>
      <c r="N380" t="s">
        <v>339</v>
      </c>
      <c r="O380" t="s">
        <v>148</v>
      </c>
      <c r="P380" t="s">
        <v>74</v>
      </c>
      <c r="Q380" t="s">
        <v>265</v>
      </c>
      <c r="R380" t="s">
        <v>266</v>
      </c>
      <c r="S380" t="s">
        <v>31</v>
      </c>
      <c r="T380" t="s">
        <v>31</v>
      </c>
      <c r="U380" t="s">
        <v>30</v>
      </c>
      <c r="V380" t="s">
        <v>31</v>
      </c>
    </row>
    <row r="381" spans="1:22" ht="12.75">
      <c r="A381">
        <v>2015</v>
      </c>
      <c r="B381" t="s">
        <v>22</v>
      </c>
      <c r="C381" t="s">
        <v>84</v>
      </c>
      <c r="D381">
        <f>HYPERLINK("https://www.amazon.com/exec/obidos/ASIN/B00TWDNM92","N21")</f>
        <v>0</v>
      </c>
      <c r="E381" t="s">
        <v>48</v>
      </c>
      <c r="F381" t="s">
        <v>49</v>
      </c>
      <c r="G381" t="s">
        <v>346</v>
      </c>
      <c r="H381" t="s">
        <v>347</v>
      </c>
      <c r="I381">
        <v>2</v>
      </c>
      <c r="J381">
        <v>1148</v>
      </c>
      <c r="K381">
        <v>1667</v>
      </c>
      <c r="L381">
        <v>954</v>
      </c>
      <c r="M381">
        <v>8300</v>
      </c>
      <c r="N381" t="s">
        <v>250</v>
      </c>
      <c r="O381" t="s">
        <v>148</v>
      </c>
      <c r="P381" t="s">
        <v>179</v>
      </c>
      <c r="Q381" t="s">
        <v>61</v>
      </c>
      <c r="R381" t="s">
        <v>62</v>
      </c>
      <c r="S381" t="s">
        <v>31</v>
      </c>
      <c r="T381" t="s">
        <v>31</v>
      </c>
      <c r="U381" t="s">
        <v>30</v>
      </c>
      <c r="V381" t="s">
        <v>31</v>
      </c>
    </row>
    <row r="382" spans="1:22" ht="12.75">
      <c r="A382">
        <v>2015</v>
      </c>
      <c r="B382" t="s">
        <v>112</v>
      </c>
      <c r="C382" t="s">
        <v>84</v>
      </c>
      <c r="D382">
        <f>HYPERLINK("https://www.amazon.com/exec/obidos/ASIN/B014MIBQXA","Chromebook 100S")</f>
        <v>0</v>
      </c>
      <c r="E382" t="s">
        <v>48</v>
      </c>
      <c r="F382" t="s">
        <v>49</v>
      </c>
      <c r="G382" t="s">
        <v>346</v>
      </c>
      <c r="H382" t="s">
        <v>347</v>
      </c>
      <c r="I382">
        <v>2</v>
      </c>
      <c r="J382">
        <v>1148</v>
      </c>
      <c r="K382">
        <v>1667</v>
      </c>
      <c r="L382">
        <v>954</v>
      </c>
      <c r="M382">
        <v>8900</v>
      </c>
      <c r="N382" t="s">
        <v>250</v>
      </c>
      <c r="O382" t="s">
        <v>73</v>
      </c>
      <c r="P382" t="s">
        <v>251</v>
      </c>
      <c r="Q382" t="s">
        <v>238</v>
      </c>
      <c r="R382" t="s">
        <v>154</v>
      </c>
      <c r="S382" t="s">
        <v>31</v>
      </c>
      <c r="T382" t="s">
        <v>31</v>
      </c>
      <c r="U382" t="s">
        <v>30</v>
      </c>
      <c r="V382" t="s">
        <v>31</v>
      </c>
    </row>
    <row r="383" spans="1:22" ht="12.75">
      <c r="A383">
        <v>2015</v>
      </c>
      <c r="B383" t="s">
        <v>169</v>
      </c>
      <c r="C383" t="s">
        <v>373</v>
      </c>
      <c r="D383">
        <f>HYPERLINK("https://www.amazon.de/exec/obidos/ASIN/B01EGBAQXY","Akoya S2013")</f>
        <v>0</v>
      </c>
      <c r="E383" t="s">
        <v>48</v>
      </c>
      <c r="F383" t="s">
        <v>49</v>
      </c>
      <c r="G383" t="s">
        <v>337</v>
      </c>
      <c r="H383" t="s">
        <v>45</v>
      </c>
      <c r="I383">
        <v>4</v>
      </c>
      <c r="J383" t="s">
        <v>26</v>
      </c>
      <c r="K383">
        <v>2500</v>
      </c>
      <c r="L383">
        <v>880</v>
      </c>
      <c r="M383" t="s">
        <v>338</v>
      </c>
      <c r="N383" t="s">
        <v>339</v>
      </c>
      <c r="O383" t="s">
        <v>148</v>
      </c>
      <c r="P383" t="s">
        <v>251</v>
      </c>
      <c r="Q383" t="s">
        <v>265</v>
      </c>
      <c r="R383" t="s">
        <v>266</v>
      </c>
      <c r="S383" t="s">
        <v>31</v>
      </c>
      <c r="T383" t="s">
        <v>31</v>
      </c>
      <c r="U383" t="s">
        <v>30</v>
      </c>
      <c r="V383" t="s">
        <v>31</v>
      </c>
    </row>
    <row r="384" spans="1:22" ht="12.75">
      <c r="A384">
        <v>2015</v>
      </c>
      <c r="B384" t="s">
        <v>22</v>
      </c>
      <c r="C384" t="s">
        <v>414</v>
      </c>
      <c r="D384">
        <f>HYPERLINK("https://www.amazon.in/exec/obidos/ASIN/","Chromebook")</f>
        <v>0</v>
      </c>
      <c r="E384" t="s">
        <v>48</v>
      </c>
      <c r="F384" t="s">
        <v>49</v>
      </c>
      <c r="G384" t="s">
        <v>337</v>
      </c>
      <c r="H384" t="s">
        <v>45</v>
      </c>
      <c r="I384">
        <v>4</v>
      </c>
      <c r="J384" t="s">
        <v>26</v>
      </c>
      <c r="K384">
        <v>2500</v>
      </c>
      <c r="L384">
        <v>880</v>
      </c>
      <c r="M384" t="s">
        <v>338</v>
      </c>
      <c r="N384" t="s">
        <v>339</v>
      </c>
      <c r="O384" t="s">
        <v>148</v>
      </c>
      <c r="P384" t="s">
        <v>251</v>
      </c>
      <c r="Q384" t="s">
        <v>331</v>
      </c>
      <c r="R384" t="s">
        <v>116</v>
      </c>
      <c r="S384" t="s">
        <v>31</v>
      </c>
      <c r="T384" t="s">
        <v>31</v>
      </c>
      <c r="U384" t="s">
        <v>30</v>
      </c>
      <c r="V384" t="s">
        <v>31</v>
      </c>
    </row>
    <row r="385" spans="1:22" ht="12.75">
      <c r="A385">
        <v>2015</v>
      </c>
      <c r="B385" t="s">
        <v>169</v>
      </c>
      <c r="C385" t="s">
        <v>245</v>
      </c>
      <c r="D385">
        <f>HYPERLINK("http://pcmergechrome.com.au/","PCM-116E")</f>
        <v>0</v>
      </c>
      <c r="E385" t="s">
        <v>48</v>
      </c>
      <c r="F385" t="s">
        <v>49</v>
      </c>
      <c r="G385" t="s">
        <v>337</v>
      </c>
      <c r="H385" t="s">
        <v>45</v>
      </c>
      <c r="I385">
        <v>4</v>
      </c>
      <c r="J385" t="s">
        <v>26</v>
      </c>
      <c r="K385">
        <v>2500</v>
      </c>
      <c r="L385">
        <v>880</v>
      </c>
      <c r="M385" t="s">
        <v>338</v>
      </c>
      <c r="N385" t="s">
        <v>339</v>
      </c>
      <c r="O385" t="s">
        <v>148</v>
      </c>
      <c r="P385" t="s">
        <v>74</v>
      </c>
      <c r="Q385" t="s">
        <v>119</v>
      </c>
      <c r="R385" t="s">
        <v>120</v>
      </c>
      <c r="S385" t="s">
        <v>31</v>
      </c>
      <c r="T385" t="s">
        <v>31</v>
      </c>
      <c r="U385" t="s">
        <v>30</v>
      </c>
      <c r="V385" t="s">
        <v>31</v>
      </c>
    </row>
    <row r="386" spans="1:22" ht="12.75">
      <c r="A386">
        <v>2015</v>
      </c>
      <c r="B386" t="s">
        <v>136</v>
      </c>
      <c r="C386" t="s">
        <v>290</v>
      </c>
      <c r="D386">
        <f>HYPERLINK("https://www.amazon.com/exec/obidos/ASIN/B00WHYSHF2","Chromebook 11")</f>
        <v>0</v>
      </c>
      <c r="E386" t="s">
        <v>48</v>
      </c>
      <c r="F386" t="s">
        <v>49</v>
      </c>
      <c r="G386" t="s">
        <v>337</v>
      </c>
      <c r="H386" t="s">
        <v>45</v>
      </c>
      <c r="I386">
        <v>4</v>
      </c>
      <c r="J386" t="s">
        <v>26</v>
      </c>
      <c r="K386">
        <v>2500</v>
      </c>
      <c r="L386">
        <v>880</v>
      </c>
      <c r="M386" t="s">
        <v>338</v>
      </c>
      <c r="N386" t="s">
        <v>339</v>
      </c>
      <c r="O386" t="s">
        <v>148</v>
      </c>
      <c r="P386" t="s">
        <v>341</v>
      </c>
      <c r="Q386" t="s">
        <v>377</v>
      </c>
      <c r="R386" t="s">
        <v>266</v>
      </c>
      <c r="S386" t="s">
        <v>31</v>
      </c>
      <c r="T386" t="s">
        <v>31</v>
      </c>
      <c r="U386" t="s">
        <v>30</v>
      </c>
      <c r="V386" t="s">
        <v>31</v>
      </c>
    </row>
    <row r="387" spans="1:22" ht="12.75">
      <c r="A387">
        <v>2015</v>
      </c>
      <c r="B387" t="s">
        <v>22</v>
      </c>
      <c r="C387" t="s">
        <v>415</v>
      </c>
      <c r="D387">
        <f aca="true" t="shared" si="15" ref="D387:D388">HYPERLINK("http://news.avnet.com/press-release/rgs-introduces-rgs-education-chromebook-digital-learning-device-purpose-built","Edu. Chromebook")</f>
        <v>0</v>
      </c>
      <c r="E387" t="s">
        <v>48</v>
      </c>
      <c r="F387" t="s">
        <v>49</v>
      </c>
      <c r="G387" t="s">
        <v>388</v>
      </c>
      <c r="H387" t="s">
        <v>347</v>
      </c>
      <c r="I387">
        <v>2</v>
      </c>
      <c r="J387">
        <v>1016</v>
      </c>
      <c r="K387">
        <v>1506</v>
      </c>
      <c r="L387">
        <v>879</v>
      </c>
      <c r="M387" t="s">
        <v>383</v>
      </c>
      <c r="N387" t="s">
        <v>52</v>
      </c>
      <c r="O387" t="s">
        <v>148</v>
      </c>
      <c r="P387" t="s">
        <v>179</v>
      </c>
      <c r="Q387" t="s">
        <v>61</v>
      </c>
      <c r="R387" t="s">
        <v>62</v>
      </c>
      <c r="S387" t="s">
        <v>31</v>
      </c>
      <c r="T387" t="s">
        <v>31</v>
      </c>
      <c r="U387" t="s">
        <v>358</v>
      </c>
      <c r="V387" t="s">
        <v>31</v>
      </c>
    </row>
    <row r="388" spans="1:22" ht="12.75">
      <c r="A388">
        <v>2015</v>
      </c>
      <c r="B388" t="s">
        <v>22</v>
      </c>
      <c r="C388" t="s">
        <v>415</v>
      </c>
      <c r="D388">
        <f t="shared" si="15"/>
        <v>0</v>
      </c>
      <c r="E388" t="s">
        <v>48</v>
      </c>
      <c r="F388" t="s">
        <v>49</v>
      </c>
      <c r="G388" t="s">
        <v>416</v>
      </c>
      <c r="H388" t="s">
        <v>398</v>
      </c>
      <c r="I388">
        <v>4</v>
      </c>
      <c r="J388">
        <v>1710</v>
      </c>
      <c r="K388">
        <v>2819</v>
      </c>
      <c r="L388">
        <v>866</v>
      </c>
      <c r="M388" t="s">
        <v>338</v>
      </c>
      <c r="N388" t="s">
        <v>52</v>
      </c>
      <c r="O388" t="s">
        <v>148</v>
      </c>
      <c r="P388" t="s">
        <v>179</v>
      </c>
      <c r="Q388" t="s">
        <v>61</v>
      </c>
      <c r="R388" t="s">
        <v>62</v>
      </c>
      <c r="S388" t="s">
        <v>31</v>
      </c>
      <c r="T388" t="s">
        <v>31</v>
      </c>
      <c r="U388" t="s">
        <v>358</v>
      </c>
      <c r="V388" t="s">
        <v>31</v>
      </c>
    </row>
    <row r="389" spans="1:22" ht="12.75">
      <c r="A389">
        <v>2015</v>
      </c>
      <c r="B389" t="s">
        <v>136</v>
      </c>
      <c r="C389" t="s">
        <v>295</v>
      </c>
      <c r="D389">
        <f>HYPERLINK("https://www.amazon.com/exec/obidos/ASIN/B0143JXK32","E1 Rugged Chromebook")</f>
        <v>0</v>
      </c>
      <c r="E389" t="s">
        <v>48</v>
      </c>
      <c r="F389" t="s">
        <v>49</v>
      </c>
      <c r="G389" t="s">
        <v>337</v>
      </c>
      <c r="H389" t="s">
        <v>45</v>
      </c>
      <c r="I389">
        <v>4</v>
      </c>
      <c r="J389" t="s">
        <v>26</v>
      </c>
      <c r="K389">
        <v>2500</v>
      </c>
      <c r="L389">
        <v>880</v>
      </c>
      <c r="M389" t="s">
        <v>338</v>
      </c>
      <c r="N389" t="s">
        <v>250</v>
      </c>
      <c r="O389" t="s">
        <v>148</v>
      </c>
      <c r="P389" t="s">
        <v>74</v>
      </c>
      <c r="Q389" t="s">
        <v>331</v>
      </c>
      <c r="R389" t="s">
        <v>116</v>
      </c>
      <c r="S389" t="s">
        <v>31</v>
      </c>
      <c r="T389" t="s">
        <v>31</v>
      </c>
      <c r="U389" t="s">
        <v>30</v>
      </c>
      <c r="V389" t="s">
        <v>31</v>
      </c>
    </row>
    <row r="390" spans="1:22" ht="12.75">
      <c r="A390">
        <v>2015</v>
      </c>
      <c r="B390" t="s">
        <v>112</v>
      </c>
      <c r="C390" t="s">
        <v>417</v>
      </c>
      <c r="D390">
        <f>HYPERLINK("https://www.amazon.com/exec/obidos/ASIN/B015806LMM","Chromebook 2 (2015)")</f>
        <v>0</v>
      </c>
      <c r="E390" t="s">
        <v>93</v>
      </c>
      <c r="F390" t="s">
        <v>34</v>
      </c>
      <c r="G390" t="s">
        <v>353</v>
      </c>
      <c r="H390" t="s">
        <v>107</v>
      </c>
      <c r="I390">
        <v>2</v>
      </c>
      <c r="J390">
        <v>1830</v>
      </c>
      <c r="K390">
        <v>2700</v>
      </c>
      <c r="L390">
        <v>1500</v>
      </c>
      <c r="M390">
        <v>17600</v>
      </c>
      <c r="N390" t="s">
        <v>52</v>
      </c>
      <c r="O390" t="s">
        <v>148</v>
      </c>
      <c r="P390" t="s">
        <v>100</v>
      </c>
      <c r="Q390" t="s">
        <v>418</v>
      </c>
      <c r="R390" t="s">
        <v>213</v>
      </c>
      <c r="S390" t="s">
        <v>30</v>
      </c>
      <c r="T390" t="s">
        <v>31</v>
      </c>
      <c r="U390" t="s">
        <v>30</v>
      </c>
      <c r="V390" t="s">
        <v>31</v>
      </c>
    </row>
    <row r="391" spans="1:22" ht="12.75">
      <c r="A391">
        <v>2015</v>
      </c>
      <c r="B391" t="s">
        <v>112</v>
      </c>
      <c r="C391" t="s">
        <v>417</v>
      </c>
      <c r="D391">
        <f>HYPERLINK("https://www.amazon.com/exec/obidos/ASIN/B015806LSQ","Chromebook 2 (2015)")</f>
        <v>0</v>
      </c>
      <c r="E391" t="s">
        <v>93</v>
      </c>
      <c r="F391" t="s">
        <v>34</v>
      </c>
      <c r="G391" t="s">
        <v>419</v>
      </c>
      <c r="H391" t="s">
        <v>36</v>
      </c>
      <c r="I391">
        <v>2</v>
      </c>
      <c r="J391">
        <v>3150</v>
      </c>
      <c r="K391">
        <v>4520</v>
      </c>
      <c r="L391">
        <v>2200</v>
      </c>
      <c r="M391">
        <v>21400</v>
      </c>
      <c r="N391" t="s">
        <v>52</v>
      </c>
      <c r="O391" t="s">
        <v>148</v>
      </c>
      <c r="P391" t="s">
        <v>341</v>
      </c>
      <c r="Q391" t="s">
        <v>418</v>
      </c>
      <c r="R391" t="s">
        <v>213</v>
      </c>
      <c r="S391" t="s">
        <v>30</v>
      </c>
      <c r="T391" t="s">
        <v>31</v>
      </c>
      <c r="U391" t="s">
        <v>30</v>
      </c>
      <c r="V391" t="s">
        <v>31</v>
      </c>
    </row>
    <row r="392" spans="1:22" ht="12.75">
      <c r="A392">
        <v>2015</v>
      </c>
      <c r="B392" t="s">
        <v>92</v>
      </c>
      <c r="C392" t="s">
        <v>420</v>
      </c>
      <c r="D392">
        <f>HYPERLINK("https://web.archive.org/web/20190806131424/https://www.trueidc.com/en/chrome-book/","Chromebook 11")</f>
        <v>0</v>
      </c>
      <c r="E392" t="s">
        <v>48</v>
      </c>
      <c r="F392" t="s">
        <v>49</v>
      </c>
      <c r="G392" t="s">
        <v>337</v>
      </c>
      <c r="H392" t="s">
        <v>45</v>
      </c>
      <c r="I392">
        <v>4</v>
      </c>
      <c r="J392" t="s">
        <v>26</v>
      </c>
      <c r="K392">
        <v>2500</v>
      </c>
      <c r="L392">
        <v>880</v>
      </c>
      <c r="M392" t="s">
        <v>338</v>
      </c>
      <c r="N392" t="s">
        <v>339</v>
      </c>
      <c r="O392" t="s">
        <v>148</v>
      </c>
      <c r="P392" t="s">
        <v>251</v>
      </c>
      <c r="Q392" t="s">
        <v>377</v>
      </c>
      <c r="R392" t="s">
        <v>266</v>
      </c>
      <c r="S392" t="s">
        <v>31</v>
      </c>
      <c r="T392" t="s">
        <v>31</v>
      </c>
      <c r="U392" t="s">
        <v>30</v>
      </c>
      <c r="V392" t="s">
        <v>31</v>
      </c>
    </row>
    <row r="393" spans="1:22" ht="12.75">
      <c r="A393">
        <v>2015</v>
      </c>
      <c r="B393" t="s">
        <v>135</v>
      </c>
      <c r="C393" t="s">
        <v>380</v>
      </c>
      <c r="D393">
        <f>HYPERLINK("http://alllearn.xma.co.uk/google/viglen-chromebook.php","Chromebook 11")</f>
        <v>0</v>
      </c>
      <c r="E393" t="s">
        <v>48</v>
      </c>
      <c r="F393" t="s">
        <v>49</v>
      </c>
      <c r="G393" t="s">
        <v>337</v>
      </c>
      <c r="H393" t="s">
        <v>45</v>
      </c>
      <c r="I393">
        <v>4</v>
      </c>
      <c r="J393" t="s">
        <v>26</v>
      </c>
      <c r="K393">
        <v>2500</v>
      </c>
      <c r="L393">
        <v>880</v>
      </c>
      <c r="M393" t="s">
        <v>338</v>
      </c>
      <c r="N393" t="s">
        <v>250</v>
      </c>
      <c r="O393" t="s">
        <v>148</v>
      </c>
      <c r="P393" t="s">
        <v>74</v>
      </c>
      <c r="Q393" t="s">
        <v>26</v>
      </c>
      <c r="R393" t="s">
        <v>26</v>
      </c>
      <c r="S393" t="s">
        <v>31</v>
      </c>
      <c r="T393" t="s">
        <v>31</v>
      </c>
      <c r="U393" t="s">
        <v>30</v>
      </c>
      <c r="V393" t="s">
        <v>31</v>
      </c>
    </row>
    <row r="394" spans="1:22" ht="12.75">
      <c r="A394">
        <v>2014</v>
      </c>
      <c r="B394" t="s">
        <v>135</v>
      </c>
      <c r="C394" t="s">
        <v>23</v>
      </c>
      <c r="D394">
        <f>HYPERLINK("https://www.amazon.com/exec/obidos/ASIN/B00KOUIZBC","C720 (3404; 3871)")</f>
        <v>0</v>
      </c>
      <c r="E394" t="s">
        <v>48</v>
      </c>
      <c r="F394" t="s">
        <v>49</v>
      </c>
      <c r="G394" t="s">
        <v>421</v>
      </c>
      <c r="H394" t="s">
        <v>107</v>
      </c>
      <c r="I394">
        <v>2</v>
      </c>
      <c r="J394">
        <v>2480</v>
      </c>
      <c r="K394">
        <v>3306</v>
      </c>
      <c r="L394">
        <v>1588</v>
      </c>
      <c r="M394">
        <v>14600</v>
      </c>
      <c r="N394" t="s">
        <v>250</v>
      </c>
      <c r="O394" t="s">
        <v>53</v>
      </c>
      <c r="P394" t="s">
        <v>341</v>
      </c>
      <c r="Q394" t="s">
        <v>119</v>
      </c>
      <c r="R394" t="s">
        <v>120</v>
      </c>
      <c r="S394" t="s">
        <v>31</v>
      </c>
      <c r="T394" t="s">
        <v>31</v>
      </c>
      <c r="U394" t="s">
        <v>31</v>
      </c>
      <c r="V394" t="s">
        <v>31</v>
      </c>
    </row>
    <row r="395" spans="1:22" ht="12.75">
      <c r="A395">
        <v>2014</v>
      </c>
      <c r="B395" t="s">
        <v>169</v>
      </c>
      <c r="C395" t="s">
        <v>23</v>
      </c>
      <c r="D395">
        <f>HYPERLINK("https://www.amazon.com/exec/obidos/ASIN/B07B3V8PPR","C730")</f>
        <v>0</v>
      </c>
      <c r="E395" t="s">
        <v>48</v>
      </c>
      <c r="F395" t="s">
        <v>49</v>
      </c>
      <c r="G395" t="s">
        <v>346</v>
      </c>
      <c r="H395" t="s">
        <v>347</v>
      </c>
      <c r="I395">
        <v>2</v>
      </c>
      <c r="J395">
        <v>1148</v>
      </c>
      <c r="K395">
        <v>1667</v>
      </c>
      <c r="L395">
        <v>954</v>
      </c>
      <c r="M395" t="s">
        <v>348</v>
      </c>
      <c r="N395" t="s">
        <v>250</v>
      </c>
      <c r="O395" t="s">
        <v>73</v>
      </c>
      <c r="P395" t="s">
        <v>341</v>
      </c>
      <c r="Q395" t="s">
        <v>115</v>
      </c>
      <c r="R395" t="s">
        <v>116</v>
      </c>
      <c r="S395" t="s">
        <v>31</v>
      </c>
      <c r="T395" t="s">
        <v>31</v>
      </c>
      <c r="U395" t="s">
        <v>30</v>
      </c>
      <c r="V395" t="s">
        <v>31</v>
      </c>
    </row>
    <row r="396" spans="1:22" ht="12.75">
      <c r="A396">
        <v>2014</v>
      </c>
      <c r="B396" t="s">
        <v>169</v>
      </c>
      <c r="C396" t="s">
        <v>23</v>
      </c>
      <c r="D396">
        <f>HYPERLINK("https://web.archive.org/web/20160417232309/http://www.amazon.co.uk/C730-C24Y-N2940-16GB-11-6-Chrome/dp/B010E38IZ6","C730")</f>
        <v>0</v>
      </c>
      <c r="E396" t="s">
        <v>48</v>
      </c>
      <c r="F396" t="s">
        <v>49</v>
      </c>
      <c r="G396" t="s">
        <v>397</v>
      </c>
      <c r="H396" t="s">
        <v>398</v>
      </c>
      <c r="I396">
        <v>4</v>
      </c>
      <c r="J396">
        <v>1835</v>
      </c>
      <c r="K396">
        <v>2900</v>
      </c>
      <c r="L396">
        <v>900</v>
      </c>
      <c r="M396" t="s">
        <v>356</v>
      </c>
      <c r="N396" t="s">
        <v>250</v>
      </c>
      <c r="O396" t="s">
        <v>73</v>
      </c>
      <c r="P396" t="s">
        <v>341</v>
      </c>
      <c r="Q396" t="s">
        <v>191</v>
      </c>
      <c r="R396" t="s">
        <v>111</v>
      </c>
      <c r="S396" t="s">
        <v>31</v>
      </c>
      <c r="T396" t="s">
        <v>31</v>
      </c>
      <c r="U396" t="s">
        <v>30</v>
      </c>
      <c r="V396" t="s">
        <v>31</v>
      </c>
    </row>
    <row r="397" spans="1:22" ht="12.75">
      <c r="A397">
        <v>2014</v>
      </c>
      <c r="B397" t="s">
        <v>112</v>
      </c>
      <c r="C397" t="s">
        <v>23</v>
      </c>
      <c r="D397">
        <f>HYPERLINK("https://www.amazon.com/exec/obidos/ASIN/B00MMLV7VQ","Chromebook 11 (CB3-111)")</f>
        <v>0</v>
      </c>
      <c r="E397" t="s">
        <v>48</v>
      </c>
      <c r="F397" t="s">
        <v>49</v>
      </c>
      <c r="G397" t="s">
        <v>388</v>
      </c>
      <c r="H397" t="s">
        <v>347</v>
      </c>
      <c r="I397">
        <v>2</v>
      </c>
      <c r="J397">
        <v>1016</v>
      </c>
      <c r="K397">
        <v>1506</v>
      </c>
      <c r="L397">
        <v>879</v>
      </c>
      <c r="M397">
        <v>7600</v>
      </c>
      <c r="N397" t="s">
        <v>250</v>
      </c>
      <c r="O397" t="s">
        <v>73</v>
      </c>
      <c r="P397" t="s">
        <v>341</v>
      </c>
      <c r="Q397" t="s">
        <v>172</v>
      </c>
      <c r="R397" t="s">
        <v>41</v>
      </c>
      <c r="S397" t="s">
        <v>31</v>
      </c>
      <c r="T397" t="s">
        <v>31</v>
      </c>
      <c r="U397" t="s">
        <v>30</v>
      </c>
      <c r="V397" t="s">
        <v>31</v>
      </c>
    </row>
    <row r="398" spans="1:22" ht="12.75">
      <c r="A398">
        <v>2014</v>
      </c>
      <c r="B398" t="s">
        <v>136</v>
      </c>
      <c r="C398" t="s">
        <v>23</v>
      </c>
      <c r="D398">
        <f>HYPERLINK("https://www.amazon.com/exec/obidos/ASIN/B00MHX6TIA","Chromebook 13 (CB5-311-T1UU)")</f>
        <v>0</v>
      </c>
      <c r="E398" t="s">
        <v>93</v>
      </c>
      <c r="F398" t="s">
        <v>34</v>
      </c>
      <c r="G398" t="s">
        <v>382</v>
      </c>
      <c r="H398" t="s">
        <v>36</v>
      </c>
      <c r="I398">
        <v>4</v>
      </c>
      <c r="J398" t="s">
        <v>26</v>
      </c>
      <c r="K398">
        <v>3098</v>
      </c>
      <c r="L398">
        <v>1033</v>
      </c>
      <c r="M398">
        <v>7600</v>
      </c>
      <c r="N398" t="s">
        <v>52</v>
      </c>
      <c r="O398" t="s">
        <v>53</v>
      </c>
      <c r="P398" t="s">
        <v>157</v>
      </c>
      <c r="Q398" t="s">
        <v>115</v>
      </c>
      <c r="R398" t="s">
        <v>116</v>
      </c>
      <c r="S398" t="s">
        <v>31</v>
      </c>
      <c r="T398" t="s">
        <v>31</v>
      </c>
      <c r="U398" t="s">
        <v>31</v>
      </c>
      <c r="V398" t="s">
        <v>31</v>
      </c>
    </row>
    <row r="399" spans="1:22" ht="12.75">
      <c r="A399">
        <v>2014</v>
      </c>
      <c r="B399" t="s">
        <v>136</v>
      </c>
      <c r="C399" t="s">
        <v>23</v>
      </c>
      <c r="D399">
        <f>HYPERLINK("https://www.amazon.com/exec/obidos/ASIN/B00MHX6V88","Chromebook 13 (CB5-311-T7NN)")</f>
        <v>0</v>
      </c>
      <c r="E399" t="s">
        <v>93</v>
      </c>
      <c r="F399" t="s">
        <v>49</v>
      </c>
      <c r="G399" t="s">
        <v>382</v>
      </c>
      <c r="H399" t="s">
        <v>36</v>
      </c>
      <c r="I399">
        <v>4</v>
      </c>
      <c r="J399" t="s">
        <v>26</v>
      </c>
      <c r="K399">
        <v>3098</v>
      </c>
      <c r="L399">
        <v>1033</v>
      </c>
      <c r="M399">
        <v>7600</v>
      </c>
      <c r="N399" t="s">
        <v>339</v>
      </c>
      <c r="O399" t="s">
        <v>148</v>
      </c>
      <c r="P399" t="s">
        <v>80</v>
      </c>
      <c r="Q399" t="s">
        <v>115</v>
      </c>
      <c r="R399" t="s">
        <v>116</v>
      </c>
      <c r="S399" t="s">
        <v>31</v>
      </c>
      <c r="T399" t="s">
        <v>31</v>
      </c>
      <c r="U399" t="s">
        <v>31</v>
      </c>
      <c r="V399" t="s">
        <v>31</v>
      </c>
    </row>
    <row r="400" spans="1:22" ht="12.75">
      <c r="A400">
        <v>2014</v>
      </c>
      <c r="B400" t="s">
        <v>136</v>
      </c>
      <c r="C400" t="s">
        <v>23</v>
      </c>
      <c r="D400">
        <f>HYPERLINK("https://www.amazon.com/exec/obidos/ASIN/B00NC088EA","Chromebook 13 (CB5-311-T9B0)")</f>
        <v>0</v>
      </c>
      <c r="E400" t="s">
        <v>93</v>
      </c>
      <c r="F400" t="s">
        <v>34</v>
      </c>
      <c r="G400" t="s">
        <v>382</v>
      </c>
      <c r="H400" t="s">
        <v>36</v>
      </c>
      <c r="I400">
        <v>4</v>
      </c>
      <c r="J400" t="s">
        <v>26</v>
      </c>
      <c r="K400">
        <v>3098</v>
      </c>
      <c r="L400">
        <v>1033</v>
      </c>
      <c r="M400">
        <v>7600</v>
      </c>
      <c r="N400" t="s">
        <v>339</v>
      </c>
      <c r="O400" t="s">
        <v>148</v>
      </c>
      <c r="P400" t="s">
        <v>157</v>
      </c>
      <c r="Q400" t="s">
        <v>115</v>
      </c>
      <c r="R400" t="s">
        <v>116</v>
      </c>
      <c r="S400" t="s">
        <v>31</v>
      </c>
      <c r="T400" t="s">
        <v>31</v>
      </c>
      <c r="U400" t="s">
        <v>31</v>
      </c>
      <c r="V400" t="s">
        <v>31</v>
      </c>
    </row>
    <row r="401" spans="1:22" ht="12.75">
      <c r="A401">
        <v>2014</v>
      </c>
      <c r="B401" t="s">
        <v>136</v>
      </c>
      <c r="C401" t="s">
        <v>23</v>
      </c>
      <c r="D401">
        <f>HYPERLINK("https://www.amazon.com/exec/obidos/ASIN/B00M789XJ2","Chromebook 13 (CB5-311-T9Y2)")</f>
        <v>0</v>
      </c>
      <c r="E401" t="s">
        <v>93</v>
      </c>
      <c r="F401" t="s">
        <v>49</v>
      </c>
      <c r="G401" t="s">
        <v>382</v>
      </c>
      <c r="H401" t="s">
        <v>36</v>
      </c>
      <c r="I401">
        <v>4</v>
      </c>
      <c r="J401" t="s">
        <v>26</v>
      </c>
      <c r="K401">
        <v>3098</v>
      </c>
      <c r="L401">
        <v>1033</v>
      </c>
      <c r="M401">
        <v>7600</v>
      </c>
      <c r="N401" t="s">
        <v>52</v>
      </c>
      <c r="O401" t="s">
        <v>148</v>
      </c>
      <c r="P401" t="s">
        <v>80</v>
      </c>
      <c r="Q401" t="s">
        <v>115</v>
      </c>
      <c r="R401" t="s">
        <v>116</v>
      </c>
      <c r="S401" t="s">
        <v>31</v>
      </c>
      <c r="T401" t="s">
        <v>31</v>
      </c>
      <c r="U401" t="s">
        <v>31</v>
      </c>
      <c r="V401" t="s">
        <v>31</v>
      </c>
    </row>
    <row r="402" spans="1:22" ht="12.75">
      <c r="A402">
        <v>2014</v>
      </c>
      <c r="B402" t="s">
        <v>112</v>
      </c>
      <c r="C402" t="s">
        <v>23</v>
      </c>
      <c r="D402">
        <f>HYPERLINK("https://www.amazon.com/exec/obidos/ASIN/B00SDLM2EA","Chromebook 13 (CB5-311P)")</f>
        <v>0</v>
      </c>
      <c r="E402" t="s">
        <v>93</v>
      </c>
      <c r="F402" t="s">
        <v>49</v>
      </c>
      <c r="G402" t="s">
        <v>382</v>
      </c>
      <c r="H402" t="s">
        <v>36</v>
      </c>
      <c r="I402">
        <v>4</v>
      </c>
      <c r="J402" t="s">
        <v>26</v>
      </c>
      <c r="K402">
        <v>3098</v>
      </c>
      <c r="L402">
        <v>1033</v>
      </c>
      <c r="M402">
        <v>7600</v>
      </c>
      <c r="N402" t="s">
        <v>52</v>
      </c>
      <c r="O402" t="s">
        <v>73</v>
      </c>
      <c r="P402" t="s">
        <v>80</v>
      </c>
      <c r="Q402" t="s">
        <v>115</v>
      </c>
      <c r="R402" t="s">
        <v>116</v>
      </c>
      <c r="S402" t="s">
        <v>31</v>
      </c>
      <c r="T402" t="s">
        <v>30</v>
      </c>
      <c r="U402" t="s">
        <v>31</v>
      </c>
      <c r="V402" t="s">
        <v>31</v>
      </c>
    </row>
    <row r="403" spans="1:22" ht="12.75">
      <c r="A403">
        <v>2014</v>
      </c>
      <c r="B403" t="s">
        <v>92</v>
      </c>
      <c r="C403" t="s">
        <v>32</v>
      </c>
      <c r="D403">
        <f>HYPERLINK("https://www.amazon.com/exec/obidos/ASIN/B00KD5RUN2","Chromebook C200")</f>
        <v>0</v>
      </c>
      <c r="E403" t="s">
        <v>48</v>
      </c>
      <c r="F403" t="s">
        <v>49</v>
      </c>
      <c r="G403" t="s">
        <v>388</v>
      </c>
      <c r="H403" t="s">
        <v>347</v>
      </c>
      <c r="I403">
        <v>2</v>
      </c>
      <c r="J403">
        <v>1016</v>
      </c>
      <c r="K403">
        <v>1506</v>
      </c>
      <c r="L403">
        <v>879</v>
      </c>
      <c r="M403">
        <v>7300</v>
      </c>
      <c r="N403" t="s">
        <v>250</v>
      </c>
      <c r="O403" t="s">
        <v>73</v>
      </c>
      <c r="P403" t="s">
        <v>157</v>
      </c>
      <c r="Q403" t="s">
        <v>54</v>
      </c>
      <c r="R403" t="s">
        <v>55</v>
      </c>
      <c r="S403" t="s">
        <v>31</v>
      </c>
      <c r="T403" t="s">
        <v>31</v>
      </c>
      <c r="U403" t="s">
        <v>30</v>
      </c>
      <c r="V403" t="s">
        <v>31</v>
      </c>
    </row>
    <row r="404" spans="1:22" ht="12.75">
      <c r="A404">
        <v>2014</v>
      </c>
      <c r="B404" t="s">
        <v>92</v>
      </c>
      <c r="C404" t="s">
        <v>32</v>
      </c>
      <c r="D404">
        <f>HYPERLINK("https://www.amazon.com/exec/obidos/ASIN/B00KD5SEPK","Chromebook C300")</f>
        <v>0</v>
      </c>
      <c r="E404" t="s">
        <v>93</v>
      </c>
      <c r="F404" t="s">
        <v>49</v>
      </c>
      <c r="G404" t="s">
        <v>388</v>
      </c>
      <c r="H404" t="s">
        <v>347</v>
      </c>
      <c r="I404">
        <v>2</v>
      </c>
      <c r="J404">
        <v>1016</v>
      </c>
      <c r="K404">
        <v>1506</v>
      </c>
      <c r="L404">
        <v>879</v>
      </c>
      <c r="M404">
        <v>7300</v>
      </c>
      <c r="N404" t="s">
        <v>250</v>
      </c>
      <c r="O404" t="s">
        <v>73</v>
      </c>
      <c r="P404" t="s">
        <v>74</v>
      </c>
      <c r="Q404" t="s">
        <v>191</v>
      </c>
      <c r="R404" t="s">
        <v>111</v>
      </c>
      <c r="S404" t="s">
        <v>31</v>
      </c>
      <c r="T404" t="s">
        <v>31</v>
      </c>
      <c r="U404" t="s">
        <v>30</v>
      </c>
      <c r="V404" t="s">
        <v>31</v>
      </c>
    </row>
    <row r="405" spans="1:22" ht="12.75">
      <c r="A405">
        <v>2014</v>
      </c>
      <c r="B405" t="s">
        <v>92</v>
      </c>
      <c r="C405" t="s">
        <v>47</v>
      </c>
      <c r="D405">
        <f>HYPERLINK("https://www.amazon.com/exec/obidos/ASIN/B00T53K2E2","NL6")</f>
        <v>0</v>
      </c>
      <c r="E405" t="s">
        <v>48</v>
      </c>
      <c r="F405" t="s">
        <v>49</v>
      </c>
      <c r="G405" t="s">
        <v>416</v>
      </c>
      <c r="H405" t="s">
        <v>398</v>
      </c>
      <c r="I405">
        <v>4</v>
      </c>
      <c r="J405">
        <v>1710</v>
      </c>
      <c r="K405">
        <v>2819</v>
      </c>
      <c r="L405">
        <v>866</v>
      </c>
      <c r="M405">
        <v>7400</v>
      </c>
      <c r="N405" t="s">
        <v>52</v>
      </c>
      <c r="O405" t="s">
        <v>148</v>
      </c>
      <c r="P405" t="s">
        <v>179</v>
      </c>
      <c r="Q405" t="s">
        <v>351</v>
      </c>
      <c r="R405" t="s">
        <v>352</v>
      </c>
      <c r="S405" t="s">
        <v>31</v>
      </c>
      <c r="T405" t="s">
        <v>31</v>
      </c>
      <c r="U405" t="s">
        <v>30</v>
      </c>
      <c r="V405" t="s">
        <v>31</v>
      </c>
    </row>
    <row r="406" spans="1:22" ht="12.75">
      <c r="A406">
        <v>2014</v>
      </c>
      <c r="B406" t="s">
        <v>63</v>
      </c>
      <c r="C406" t="s">
        <v>190</v>
      </c>
      <c r="D406">
        <f>HYPERLINK("https://www.amazon.com/exec/obidos/ASIN/B00K1FY3M0","Chromebook 11")</f>
        <v>0</v>
      </c>
      <c r="E406" t="s">
        <v>48</v>
      </c>
      <c r="F406" t="s">
        <v>49</v>
      </c>
      <c r="G406" t="s">
        <v>422</v>
      </c>
      <c r="H406" t="s">
        <v>423</v>
      </c>
      <c r="I406">
        <v>2</v>
      </c>
      <c r="J406">
        <v>1555</v>
      </c>
      <c r="K406">
        <v>2117</v>
      </c>
      <c r="L406">
        <v>1244</v>
      </c>
      <c r="M406">
        <v>11600</v>
      </c>
      <c r="N406" t="s">
        <v>250</v>
      </c>
      <c r="O406" t="s">
        <v>148</v>
      </c>
      <c r="P406" t="s">
        <v>74</v>
      </c>
      <c r="Q406" t="s">
        <v>424</v>
      </c>
      <c r="R406" t="s">
        <v>69</v>
      </c>
      <c r="S406" t="s">
        <v>31</v>
      </c>
      <c r="T406" t="s">
        <v>31</v>
      </c>
      <c r="U406" t="s">
        <v>31</v>
      </c>
      <c r="V406" t="s">
        <v>31</v>
      </c>
    </row>
    <row r="407" spans="1:22" ht="12.75">
      <c r="A407">
        <v>2014</v>
      </c>
      <c r="B407" t="s">
        <v>124</v>
      </c>
      <c r="C407" t="s">
        <v>190</v>
      </c>
      <c r="D407">
        <f>HYPERLINK("https://www.amazon.com/exec/obidos/ASIN/B00OW0DTX4","Chromebook 11")</f>
        <v>0</v>
      </c>
      <c r="E407" t="s">
        <v>48</v>
      </c>
      <c r="F407" t="s">
        <v>49</v>
      </c>
      <c r="G407" t="s">
        <v>421</v>
      </c>
      <c r="H407" t="s">
        <v>107</v>
      </c>
      <c r="I407">
        <v>2</v>
      </c>
      <c r="J407">
        <v>2480</v>
      </c>
      <c r="K407">
        <v>3306</v>
      </c>
      <c r="L407">
        <v>1588</v>
      </c>
      <c r="M407">
        <v>15400</v>
      </c>
      <c r="N407" t="s">
        <v>52</v>
      </c>
      <c r="O407" t="s">
        <v>148</v>
      </c>
      <c r="P407" t="s">
        <v>74</v>
      </c>
      <c r="Q407" t="s">
        <v>424</v>
      </c>
      <c r="R407" t="s">
        <v>69</v>
      </c>
      <c r="S407" t="s">
        <v>31</v>
      </c>
      <c r="T407" t="s">
        <v>31</v>
      </c>
      <c r="U407" t="s">
        <v>31</v>
      </c>
      <c r="V407" t="s">
        <v>31</v>
      </c>
    </row>
    <row r="408" spans="1:22" ht="12.75">
      <c r="A408">
        <v>2014</v>
      </c>
      <c r="B408" t="s">
        <v>112</v>
      </c>
      <c r="C408" t="s">
        <v>355</v>
      </c>
      <c r="D408">
        <f>HYPERLINK("https://web.archive.org/web/20180823075025/https://www.edxis.com/","Education Chromebook")</f>
        <v>0</v>
      </c>
      <c r="E408" t="s">
        <v>48</v>
      </c>
      <c r="F408" t="s">
        <v>49</v>
      </c>
      <c r="G408" t="s">
        <v>416</v>
      </c>
      <c r="H408" t="s">
        <v>398</v>
      </c>
      <c r="I408">
        <v>4</v>
      </c>
      <c r="J408">
        <v>1710</v>
      </c>
      <c r="K408">
        <v>2819</v>
      </c>
      <c r="L408">
        <v>866</v>
      </c>
      <c r="M408" t="s">
        <v>338</v>
      </c>
      <c r="N408" t="s">
        <v>250</v>
      </c>
      <c r="O408" t="s">
        <v>148</v>
      </c>
      <c r="P408" t="s">
        <v>179</v>
      </c>
      <c r="Q408" t="s">
        <v>365</v>
      </c>
      <c r="R408" t="s">
        <v>62</v>
      </c>
      <c r="S408" t="s">
        <v>31</v>
      </c>
      <c r="T408" t="s">
        <v>31</v>
      </c>
      <c r="U408" t="s">
        <v>30</v>
      </c>
      <c r="V408" t="s">
        <v>31</v>
      </c>
    </row>
    <row r="409" spans="1:22" ht="12.75">
      <c r="A409">
        <v>2014</v>
      </c>
      <c r="B409" t="s">
        <v>135</v>
      </c>
      <c r="C409" t="s">
        <v>425</v>
      </c>
      <c r="D409">
        <f>HYPERLINK("https://www.amazon.ca/exec/obidos/ASIN/B00ZS4HK0Q","Chromebook Pi")</f>
        <v>0</v>
      </c>
      <c r="E409" t="s">
        <v>48</v>
      </c>
      <c r="F409" t="s">
        <v>49</v>
      </c>
      <c r="G409" t="s">
        <v>388</v>
      </c>
      <c r="H409" t="s">
        <v>347</v>
      </c>
      <c r="I409">
        <v>2</v>
      </c>
      <c r="J409">
        <v>1016</v>
      </c>
      <c r="K409">
        <v>1506</v>
      </c>
      <c r="L409">
        <v>879</v>
      </c>
      <c r="M409">
        <v>7200</v>
      </c>
      <c r="N409" t="s">
        <v>52</v>
      </c>
      <c r="O409" t="s">
        <v>53</v>
      </c>
      <c r="P409" t="s">
        <v>74</v>
      </c>
      <c r="Q409" t="s">
        <v>153</v>
      </c>
      <c r="R409" t="s">
        <v>154</v>
      </c>
      <c r="S409" t="s">
        <v>31</v>
      </c>
      <c r="T409" t="s">
        <v>31</v>
      </c>
      <c r="U409" t="s">
        <v>30</v>
      </c>
      <c r="V409" t="s">
        <v>31</v>
      </c>
    </row>
    <row r="410" spans="1:22" ht="12.75">
      <c r="A410">
        <v>2014</v>
      </c>
      <c r="B410" t="s">
        <v>83</v>
      </c>
      <c r="C410" t="s">
        <v>64</v>
      </c>
      <c r="D410">
        <f>HYPERLINK("https://www.amazon.com/exec/obidos/ASIN/B07T7KX1KV","Chromebook 11 G2")</f>
        <v>0</v>
      </c>
      <c r="E410" t="s">
        <v>48</v>
      </c>
      <c r="F410" t="s">
        <v>49</v>
      </c>
      <c r="G410" t="s">
        <v>426</v>
      </c>
      <c r="H410" t="s">
        <v>107</v>
      </c>
      <c r="I410">
        <v>2</v>
      </c>
      <c r="J410" t="s">
        <v>26</v>
      </c>
      <c r="K410">
        <v>1503</v>
      </c>
      <c r="L410">
        <v>870</v>
      </c>
      <c r="M410">
        <v>5800</v>
      </c>
      <c r="N410" t="s">
        <v>339</v>
      </c>
      <c r="O410" t="s">
        <v>148</v>
      </c>
      <c r="P410" t="s">
        <v>251</v>
      </c>
      <c r="Q410" t="s">
        <v>418</v>
      </c>
      <c r="R410" t="s">
        <v>427</v>
      </c>
      <c r="S410" t="s">
        <v>31</v>
      </c>
      <c r="T410" t="s">
        <v>31</v>
      </c>
      <c r="U410" t="s">
        <v>31</v>
      </c>
      <c r="V410" t="s">
        <v>31</v>
      </c>
    </row>
    <row r="411" spans="1:22" ht="12.75">
      <c r="A411">
        <v>2014</v>
      </c>
      <c r="B411" t="s">
        <v>124</v>
      </c>
      <c r="C411" t="s">
        <v>64</v>
      </c>
      <c r="D411">
        <f>HYPERLINK("https://www.amazon.com/exec/obidos/ASIN/B00NC07SK0","Chromebook 11 G3")</f>
        <v>0</v>
      </c>
      <c r="E411" t="s">
        <v>48</v>
      </c>
      <c r="F411" t="s">
        <v>49</v>
      </c>
      <c r="G411" t="s">
        <v>388</v>
      </c>
      <c r="H411" t="s">
        <v>347</v>
      </c>
      <c r="I411">
        <v>2</v>
      </c>
      <c r="J411">
        <v>1016</v>
      </c>
      <c r="K411">
        <v>1506</v>
      </c>
      <c r="L411">
        <v>879</v>
      </c>
      <c r="M411" t="s">
        <v>383</v>
      </c>
      <c r="N411" t="s">
        <v>250</v>
      </c>
      <c r="O411" t="s">
        <v>148</v>
      </c>
      <c r="P411" t="s">
        <v>251</v>
      </c>
      <c r="Q411" t="s">
        <v>428</v>
      </c>
      <c r="R411" t="s">
        <v>271</v>
      </c>
      <c r="S411" t="s">
        <v>31</v>
      </c>
      <c r="T411" t="s">
        <v>31</v>
      </c>
      <c r="U411" t="s">
        <v>30</v>
      </c>
      <c r="V411" t="s">
        <v>31</v>
      </c>
    </row>
    <row r="412" spans="1:22" ht="12.75">
      <c r="A412">
        <v>2014</v>
      </c>
      <c r="B412" t="s">
        <v>124</v>
      </c>
      <c r="C412" t="s">
        <v>64</v>
      </c>
      <c r="D412">
        <f>HYPERLINK("https://www.amazon.co.uk/exec/obidos/ASIN/B00OEP53S6","Chromebook 14 G3")</f>
        <v>0</v>
      </c>
      <c r="E412" t="s">
        <v>33</v>
      </c>
      <c r="F412" t="s">
        <v>49</v>
      </c>
      <c r="G412" t="s">
        <v>382</v>
      </c>
      <c r="H412" t="s">
        <v>36</v>
      </c>
      <c r="I412">
        <v>4</v>
      </c>
      <c r="J412" t="s">
        <v>26</v>
      </c>
      <c r="K412">
        <v>3098</v>
      </c>
      <c r="L412">
        <v>1033</v>
      </c>
      <c r="M412" t="s">
        <v>383</v>
      </c>
      <c r="N412" t="s">
        <v>250</v>
      </c>
      <c r="O412" t="s">
        <v>73</v>
      </c>
      <c r="P412" t="s">
        <v>251</v>
      </c>
      <c r="Q412" t="s">
        <v>411</v>
      </c>
      <c r="R412" t="s">
        <v>412</v>
      </c>
      <c r="S412" t="s">
        <v>31</v>
      </c>
      <c r="T412" t="s">
        <v>31</v>
      </c>
      <c r="U412" t="s">
        <v>31</v>
      </c>
      <c r="V412" t="s">
        <v>31</v>
      </c>
    </row>
    <row r="413" spans="1:22" ht="12.75">
      <c r="A413">
        <v>2014</v>
      </c>
      <c r="B413" t="s">
        <v>169</v>
      </c>
      <c r="C413" t="s">
        <v>64</v>
      </c>
      <c r="D413">
        <f>HYPERLINK("https://www.amazon.com/exec/obidos/ASIN/B00ON64H92","Chromebook 14 G3 (x050nr)")</f>
        <v>0</v>
      </c>
      <c r="E413" t="s">
        <v>33</v>
      </c>
      <c r="F413" t="s">
        <v>34</v>
      </c>
      <c r="G413" t="s">
        <v>382</v>
      </c>
      <c r="H413" t="s">
        <v>36</v>
      </c>
      <c r="I413">
        <v>4</v>
      </c>
      <c r="J413" t="s">
        <v>26</v>
      </c>
      <c r="K413">
        <v>3098</v>
      </c>
      <c r="L413">
        <v>1033</v>
      </c>
      <c r="M413" t="s">
        <v>383</v>
      </c>
      <c r="N413" t="s">
        <v>52</v>
      </c>
      <c r="O413" t="s">
        <v>53</v>
      </c>
      <c r="P413" t="s">
        <v>251</v>
      </c>
      <c r="Q413" t="s">
        <v>429</v>
      </c>
      <c r="R413" t="s">
        <v>412</v>
      </c>
      <c r="S413" t="s">
        <v>31</v>
      </c>
      <c r="T413" t="s">
        <v>30</v>
      </c>
      <c r="U413" t="s">
        <v>31</v>
      </c>
      <c r="V413" t="s">
        <v>31</v>
      </c>
    </row>
    <row r="414" spans="1:22" ht="12.75">
      <c r="A414">
        <v>2014</v>
      </c>
      <c r="B414" t="s">
        <v>135</v>
      </c>
      <c r="C414" t="s">
        <v>84</v>
      </c>
      <c r="D414">
        <f>HYPERLINK("https://www.amazon.co.uk/exec/obidos/ASIN/B00OEP53S6","N20")</f>
        <v>0</v>
      </c>
      <c r="E414" t="s">
        <v>48</v>
      </c>
      <c r="F414" t="s">
        <v>49</v>
      </c>
      <c r="G414" t="s">
        <v>388</v>
      </c>
      <c r="H414" t="s">
        <v>347</v>
      </c>
      <c r="I414">
        <v>2</v>
      </c>
      <c r="J414">
        <v>1016</v>
      </c>
      <c r="K414">
        <v>1506</v>
      </c>
      <c r="L414">
        <v>879</v>
      </c>
      <c r="M414" t="s">
        <v>430</v>
      </c>
      <c r="N414" t="s">
        <v>339</v>
      </c>
      <c r="O414" t="s">
        <v>148</v>
      </c>
      <c r="P414" t="s">
        <v>251</v>
      </c>
      <c r="Q414" t="s">
        <v>238</v>
      </c>
      <c r="R414" t="s">
        <v>239</v>
      </c>
      <c r="S414" t="s">
        <v>31</v>
      </c>
      <c r="T414" t="s">
        <v>31</v>
      </c>
      <c r="U414" t="s">
        <v>30</v>
      </c>
      <c r="V414" t="s">
        <v>31</v>
      </c>
    </row>
    <row r="415" spans="1:22" ht="12.75">
      <c r="A415">
        <v>2014</v>
      </c>
      <c r="B415" t="s">
        <v>135</v>
      </c>
      <c r="C415" t="s">
        <v>84</v>
      </c>
      <c r="D415">
        <f>HYPERLINK("http://www.kmart.com/lenovo-n20-11.6inch-n2830-2gb-16gb-ssd/p-SPM7297987709","N20")</f>
        <v>0</v>
      </c>
      <c r="E415" t="s">
        <v>48</v>
      </c>
      <c r="F415" t="s">
        <v>49</v>
      </c>
      <c r="G415" t="s">
        <v>388</v>
      </c>
      <c r="H415" t="s">
        <v>347</v>
      </c>
      <c r="I415">
        <v>2</v>
      </c>
      <c r="J415">
        <v>1016</v>
      </c>
      <c r="K415">
        <v>1506</v>
      </c>
      <c r="L415">
        <v>879</v>
      </c>
      <c r="M415" t="s">
        <v>430</v>
      </c>
      <c r="N415" t="s">
        <v>339</v>
      </c>
      <c r="O415" t="s">
        <v>431</v>
      </c>
      <c r="P415" t="s">
        <v>251</v>
      </c>
      <c r="Q415" t="s">
        <v>238</v>
      </c>
      <c r="R415" t="s">
        <v>239</v>
      </c>
      <c r="S415" t="s">
        <v>31</v>
      </c>
      <c r="T415" t="s">
        <v>31</v>
      </c>
      <c r="U415" t="s">
        <v>30</v>
      </c>
      <c r="V415" t="s">
        <v>31</v>
      </c>
    </row>
    <row r="416" spans="1:22" ht="12.75">
      <c r="A416">
        <v>2014</v>
      </c>
      <c r="B416" t="s">
        <v>136</v>
      </c>
      <c r="C416" t="s">
        <v>84</v>
      </c>
      <c r="D416">
        <f>HYPERLINK("https://www.amazon.com/exec/obidos/ASIN/B00KS2U95Q","N20p")</f>
        <v>0</v>
      </c>
      <c r="E416" t="s">
        <v>48</v>
      </c>
      <c r="F416" t="s">
        <v>49</v>
      </c>
      <c r="G416" t="s">
        <v>388</v>
      </c>
      <c r="H416" t="s">
        <v>347</v>
      </c>
      <c r="I416">
        <v>2</v>
      </c>
      <c r="J416">
        <v>1016</v>
      </c>
      <c r="K416">
        <v>1506</v>
      </c>
      <c r="L416">
        <v>879</v>
      </c>
      <c r="M416">
        <v>7700</v>
      </c>
      <c r="N416" t="s">
        <v>250</v>
      </c>
      <c r="O416" t="s">
        <v>148</v>
      </c>
      <c r="P416" t="s">
        <v>251</v>
      </c>
      <c r="Q416" t="s">
        <v>424</v>
      </c>
      <c r="R416" t="s">
        <v>69</v>
      </c>
      <c r="S416" t="s">
        <v>31</v>
      </c>
      <c r="T416" t="s">
        <v>30</v>
      </c>
      <c r="U416" t="s">
        <v>30</v>
      </c>
      <c r="V416" t="s">
        <v>31</v>
      </c>
    </row>
    <row r="417" spans="1:22" ht="12.75">
      <c r="A417">
        <v>2014</v>
      </c>
      <c r="B417" t="s">
        <v>136</v>
      </c>
      <c r="C417" t="s">
        <v>84</v>
      </c>
      <c r="D417">
        <f>HYPERLINK("https://www3.lenovo.com/us/en/laptops/lenovo/n-series/n20p/","N20p")</f>
        <v>0</v>
      </c>
      <c r="E417" t="s">
        <v>48</v>
      </c>
      <c r="F417" t="s">
        <v>49</v>
      </c>
      <c r="G417" t="s">
        <v>416</v>
      </c>
      <c r="H417" t="s">
        <v>398</v>
      </c>
      <c r="I417">
        <v>4</v>
      </c>
      <c r="J417">
        <v>1710</v>
      </c>
      <c r="K417">
        <v>2819</v>
      </c>
      <c r="L417">
        <v>866</v>
      </c>
      <c r="M417" t="s">
        <v>338</v>
      </c>
      <c r="N417" t="s">
        <v>250</v>
      </c>
      <c r="O417" t="s">
        <v>148</v>
      </c>
      <c r="P417" t="s">
        <v>251</v>
      </c>
      <c r="Q417" t="s">
        <v>424</v>
      </c>
      <c r="R417" t="s">
        <v>69</v>
      </c>
      <c r="S417" t="s">
        <v>31</v>
      </c>
      <c r="T417" t="s">
        <v>30</v>
      </c>
      <c r="U417" t="s">
        <v>30</v>
      </c>
      <c r="V417" t="s">
        <v>31</v>
      </c>
    </row>
    <row r="418" spans="1:22" ht="12.75">
      <c r="A418">
        <v>2014</v>
      </c>
      <c r="B418" t="s">
        <v>92</v>
      </c>
      <c r="C418" t="s">
        <v>84</v>
      </c>
      <c r="D418">
        <f>HYPERLINK("https://www.amazon.com/exec/obidos/ASIN/B00KPAWF1W","Thinkpad 11e")</f>
        <v>0</v>
      </c>
      <c r="E418" t="s">
        <v>48</v>
      </c>
      <c r="F418" t="s">
        <v>49</v>
      </c>
      <c r="G418" t="s">
        <v>416</v>
      </c>
      <c r="H418" t="s">
        <v>398</v>
      </c>
      <c r="I418">
        <v>4</v>
      </c>
      <c r="J418">
        <v>1710</v>
      </c>
      <c r="K418">
        <v>2819</v>
      </c>
      <c r="L418">
        <v>866</v>
      </c>
      <c r="M418">
        <v>7400</v>
      </c>
      <c r="N418" t="s">
        <v>52</v>
      </c>
      <c r="O418" t="s">
        <v>148</v>
      </c>
      <c r="P418" t="s">
        <v>251</v>
      </c>
      <c r="Q418" t="s">
        <v>191</v>
      </c>
      <c r="R418" t="s">
        <v>111</v>
      </c>
      <c r="S418" t="s">
        <v>31</v>
      </c>
      <c r="T418" t="s">
        <v>31</v>
      </c>
      <c r="U418" t="s">
        <v>30</v>
      </c>
      <c r="V418" t="s">
        <v>31</v>
      </c>
    </row>
    <row r="419" spans="1:22" ht="12.75">
      <c r="A419">
        <v>2014</v>
      </c>
      <c r="B419" t="s">
        <v>136</v>
      </c>
      <c r="C419" t="s">
        <v>84</v>
      </c>
      <c r="D419">
        <f>HYPERLINK("http://shop.lenovo.com/us/en/laptops/thinkpad/11e-series/11e-yoga-chrome/","Thinkpad Yoga 11e")</f>
        <v>0</v>
      </c>
      <c r="E419" t="s">
        <v>48</v>
      </c>
      <c r="F419" t="s">
        <v>49</v>
      </c>
      <c r="G419" t="s">
        <v>397</v>
      </c>
      <c r="H419" t="s">
        <v>398</v>
      </c>
      <c r="I419">
        <v>4</v>
      </c>
      <c r="J419">
        <v>1835</v>
      </c>
      <c r="K419">
        <v>2900</v>
      </c>
      <c r="L419">
        <v>900</v>
      </c>
      <c r="M419" t="s">
        <v>356</v>
      </c>
      <c r="N419" t="s">
        <v>52</v>
      </c>
      <c r="O419" t="s">
        <v>148</v>
      </c>
      <c r="P419" t="s">
        <v>251</v>
      </c>
      <c r="Q419" t="s">
        <v>191</v>
      </c>
      <c r="R419" t="s">
        <v>111</v>
      </c>
      <c r="S419" t="s">
        <v>30</v>
      </c>
      <c r="T419" t="s">
        <v>30</v>
      </c>
      <c r="U419" t="s">
        <v>30</v>
      </c>
      <c r="V419" t="s">
        <v>31</v>
      </c>
    </row>
    <row r="420" spans="1:22" ht="12.75">
      <c r="A420">
        <v>2014</v>
      </c>
      <c r="B420" t="s">
        <v>92</v>
      </c>
      <c r="C420" t="s">
        <v>432</v>
      </c>
      <c r="D420">
        <f aca="true" t="shared" si="16" ref="D420:D421">HYPERLINK("https://web.archive.org/web/20170509195303/http://www.macomp.com/ma-chromebook.asp","Chromebook")</f>
        <v>0</v>
      </c>
      <c r="E420" t="s">
        <v>48</v>
      </c>
      <c r="F420" t="s">
        <v>49</v>
      </c>
      <c r="G420" t="s">
        <v>388</v>
      </c>
      <c r="H420" t="s">
        <v>347</v>
      </c>
      <c r="I420">
        <v>2</v>
      </c>
      <c r="J420">
        <v>1016</v>
      </c>
      <c r="K420">
        <v>1506</v>
      </c>
      <c r="L420">
        <v>879</v>
      </c>
      <c r="M420" t="s">
        <v>430</v>
      </c>
      <c r="N420" t="s">
        <v>339</v>
      </c>
      <c r="O420" t="s">
        <v>148</v>
      </c>
      <c r="P420" t="s">
        <v>179</v>
      </c>
      <c r="Q420" t="s">
        <v>368</v>
      </c>
      <c r="R420" t="s">
        <v>62</v>
      </c>
      <c r="S420" t="s">
        <v>31</v>
      </c>
      <c r="T420" t="s">
        <v>31</v>
      </c>
      <c r="U420" t="s">
        <v>30</v>
      </c>
      <c r="V420" t="s">
        <v>31</v>
      </c>
    </row>
    <row r="421" spans="1:22" ht="12.75">
      <c r="A421">
        <v>2014</v>
      </c>
      <c r="B421" t="s">
        <v>92</v>
      </c>
      <c r="C421" t="s">
        <v>432</v>
      </c>
      <c r="D421">
        <f t="shared" si="16"/>
        <v>0</v>
      </c>
      <c r="E421" t="s">
        <v>48</v>
      </c>
      <c r="F421" t="s">
        <v>49</v>
      </c>
      <c r="G421" t="s">
        <v>416</v>
      </c>
      <c r="H421" t="s">
        <v>398</v>
      </c>
      <c r="I421">
        <v>4</v>
      </c>
      <c r="J421">
        <v>1710</v>
      </c>
      <c r="K421">
        <v>2819</v>
      </c>
      <c r="L421">
        <v>866</v>
      </c>
      <c r="M421" t="s">
        <v>338</v>
      </c>
      <c r="N421" t="s">
        <v>339</v>
      </c>
      <c r="O421" t="s">
        <v>148</v>
      </c>
      <c r="P421" t="s">
        <v>179</v>
      </c>
      <c r="Q421" t="s">
        <v>368</v>
      </c>
      <c r="R421" t="s">
        <v>62</v>
      </c>
      <c r="S421" t="s">
        <v>31</v>
      </c>
      <c r="T421" t="s">
        <v>31</v>
      </c>
      <c r="U421" t="s">
        <v>30</v>
      </c>
      <c r="V421" t="s">
        <v>31</v>
      </c>
    </row>
    <row r="422" spans="1:22" ht="12.75">
      <c r="A422">
        <v>2014</v>
      </c>
      <c r="B422" t="s">
        <v>83</v>
      </c>
      <c r="C422" t="s">
        <v>96</v>
      </c>
      <c r="D422">
        <f>HYPERLINK("https://www.amazon.com/exec/obidos/ASIN/B00J49ZH6K","Chromebook 2")</f>
        <v>0</v>
      </c>
      <c r="E422" t="s">
        <v>48</v>
      </c>
      <c r="F422" t="s">
        <v>49</v>
      </c>
      <c r="G422" t="s">
        <v>433</v>
      </c>
      <c r="H422" t="s">
        <v>150</v>
      </c>
      <c r="I422">
        <v>4</v>
      </c>
      <c r="J422" t="s">
        <v>26</v>
      </c>
      <c r="K422">
        <v>2661</v>
      </c>
      <c r="L422">
        <v>891</v>
      </c>
      <c r="M422">
        <v>7000</v>
      </c>
      <c r="N422" t="s">
        <v>52</v>
      </c>
      <c r="O422" t="s">
        <v>148</v>
      </c>
      <c r="P422" t="s">
        <v>251</v>
      </c>
      <c r="Q422" t="s">
        <v>153</v>
      </c>
      <c r="R422" t="s">
        <v>154</v>
      </c>
      <c r="S422" t="s">
        <v>31</v>
      </c>
      <c r="T422" t="s">
        <v>31</v>
      </c>
      <c r="U422" t="s">
        <v>31</v>
      </c>
      <c r="V422" t="s">
        <v>31</v>
      </c>
    </row>
    <row r="423" spans="1:22" ht="12.75">
      <c r="A423">
        <v>2014</v>
      </c>
      <c r="B423" t="s">
        <v>124</v>
      </c>
      <c r="C423" t="s">
        <v>96</v>
      </c>
      <c r="D423">
        <f>HYPERLINK("https://www.amazon.com/exec/obidos/ASIN/B00NJGRLUY","Chromebook 2")</f>
        <v>0</v>
      </c>
      <c r="E423" t="s">
        <v>48</v>
      </c>
      <c r="F423" t="s">
        <v>49</v>
      </c>
      <c r="G423" t="s">
        <v>346</v>
      </c>
      <c r="H423" t="s">
        <v>347</v>
      </c>
      <c r="I423">
        <v>2</v>
      </c>
      <c r="J423">
        <v>1148</v>
      </c>
      <c r="K423">
        <v>1667</v>
      </c>
      <c r="L423">
        <v>954</v>
      </c>
      <c r="M423" t="s">
        <v>348</v>
      </c>
      <c r="N423" t="s">
        <v>339</v>
      </c>
      <c r="O423" t="s">
        <v>148</v>
      </c>
      <c r="P423" t="s">
        <v>100</v>
      </c>
      <c r="Q423" t="s">
        <v>153</v>
      </c>
      <c r="R423" t="s">
        <v>154</v>
      </c>
      <c r="S423" t="s">
        <v>31</v>
      </c>
      <c r="T423" t="s">
        <v>31</v>
      </c>
      <c r="U423" t="s">
        <v>30</v>
      </c>
      <c r="V423" t="s">
        <v>31</v>
      </c>
    </row>
    <row r="424" spans="1:22" ht="12.75">
      <c r="A424">
        <v>2014</v>
      </c>
      <c r="B424" t="s">
        <v>83</v>
      </c>
      <c r="C424" t="s">
        <v>96</v>
      </c>
      <c r="D424">
        <f>HYPERLINK("https://www.amazon.com/exec/obidos/ASIN/B00J49ZH1U","Chromebook 2")</f>
        <v>0</v>
      </c>
      <c r="E424" t="s">
        <v>93</v>
      </c>
      <c r="F424" t="s">
        <v>34</v>
      </c>
      <c r="G424" t="s">
        <v>434</v>
      </c>
      <c r="H424" t="s">
        <v>88</v>
      </c>
      <c r="I424">
        <v>4</v>
      </c>
      <c r="J424" t="s">
        <v>26</v>
      </c>
      <c r="K424">
        <v>2941</v>
      </c>
      <c r="L424">
        <v>985</v>
      </c>
      <c r="M424">
        <v>7100</v>
      </c>
      <c r="N424" t="s">
        <v>52</v>
      </c>
      <c r="O424" t="s">
        <v>148</v>
      </c>
      <c r="P424" t="s">
        <v>341</v>
      </c>
      <c r="Q424" t="s">
        <v>110</v>
      </c>
      <c r="R424" t="s">
        <v>111</v>
      </c>
      <c r="S424" t="s">
        <v>31</v>
      </c>
      <c r="T424" t="s">
        <v>31</v>
      </c>
      <c r="U424" t="s">
        <v>31</v>
      </c>
      <c r="V424" t="s">
        <v>31</v>
      </c>
    </row>
    <row r="425" spans="1:22" ht="12.75">
      <c r="A425">
        <v>2014</v>
      </c>
      <c r="B425" t="s">
        <v>136</v>
      </c>
      <c r="C425" t="s">
        <v>435</v>
      </c>
      <c r="D425">
        <f>HYPERLINK("https://www.amazon.com/exec/obidos/ASIN/B00MP0I9Y2","Edu. Chromebook (C1101-2G)")</f>
        <v>0</v>
      </c>
      <c r="E425" t="s">
        <v>48</v>
      </c>
      <c r="F425" t="s">
        <v>49</v>
      </c>
      <c r="G425" t="s">
        <v>388</v>
      </c>
      <c r="H425" t="s">
        <v>347</v>
      </c>
      <c r="I425">
        <v>2</v>
      </c>
      <c r="J425">
        <v>1016</v>
      </c>
      <c r="K425">
        <v>1506</v>
      </c>
      <c r="L425">
        <v>879</v>
      </c>
      <c r="M425" t="s">
        <v>430</v>
      </c>
      <c r="N425" t="s">
        <v>339</v>
      </c>
      <c r="O425" t="s">
        <v>148</v>
      </c>
      <c r="P425" t="s">
        <v>179</v>
      </c>
      <c r="Q425" t="s">
        <v>296</v>
      </c>
      <c r="R425" t="s">
        <v>62</v>
      </c>
      <c r="S425" t="s">
        <v>30</v>
      </c>
      <c r="T425" t="s">
        <v>31</v>
      </c>
      <c r="U425" t="s">
        <v>30</v>
      </c>
      <c r="V425" t="s">
        <v>31</v>
      </c>
    </row>
    <row r="426" spans="1:22" ht="12.75">
      <c r="A426">
        <v>2014</v>
      </c>
      <c r="B426" t="s">
        <v>136</v>
      </c>
      <c r="C426" t="s">
        <v>435</v>
      </c>
      <c r="D426">
        <f>HYPERLINK("https://www.amazon.com/exec/obidos/ASIN/B00OQIVBMS","Edu. Chromebook (C1101-4G)")</f>
        <v>0</v>
      </c>
      <c r="E426" t="s">
        <v>48</v>
      </c>
      <c r="F426" t="s">
        <v>49</v>
      </c>
      <c r="G426" t="s">
        <v>416</v>
      </c>
      <c r="H426" t="s">
        <v>398</v>
      </c>
      <c r="I426">
        <v>4</v>
      </c>
      <c r="J426">
        <v>1710</v>
      </c>
      <c r="K426">
        <v>2819</v>
      </c>
      <c r="L426">
        <v>866</v>
      </c>
      <c r="M426" t="s">
        <v>338</v>
      </c>
      <c r="N426" t="s">
        <v>52</v>
      </c>
      <c r="O426" t="s">
        <v>148</v>
      </c>
      <c r="P426" t="s">
        <v>179</v>
      </c>
      <c r="Q426" t="s">
        <v>296</v>
      </c>
      <c r="R426" t="s">
        <v>62</v>
      </c>
      <c r="S426" t="s">
        <v>30</v>
      </c>
      <c r="T426" t="s">
        <v>31</v>
      </c>
      <c r="U426" t="s">
        <v>30</v>
      </c>
      <c r="V426" t="s">
        <v>31</v>
      </c>
    </row>
    <row r="427" spans="1:22" ht="12.75">
      <c r="A427">
        <v>2014</v>
      </c>
      <c r="B427" t="s">
        <v>46</v>
      </c>
      <c r="C427" t="s">
        <v>417</v>
      </c>
      <c r="D427">
        <f>HYPERLINK("https://www.amazon.com/exec/obidos/ASIN/B00HRO3IBA","Chromebook")</f>
        <v>0</v>
      </c>
      <c r="E427" t="s">
        <v>93</v>
      </c>
      <c r="F427" t="s">
        <v>49</v>
      </c>
      <c r="G427" t="s">
        <v>422</v>
      </c>
      <c r="H427" t="s">
        <v>423</v>
      </c>
      <c r="I427">
        <v>2</v>
      </c>
      <c r="J427">
        <v>1555</v>
      </c>
      <c r="K427">
        <v>2117</v>
      </c>
      <c r="L427">
        <v>1244</v>
      </c>
      <c r="M427">
        <v>11800</v>
      </c>
      <c r="N427" t="s">
        <v>339</v>
      </c>
      <c r="O427" t="s">
        <v>148</v>
      </c>
      <c r="P427" t="s">
        <v>100</v>
      </c>
      <c r="Q427" t="s">
        <v>331</v>
      </c>
      <c r="R427" t="s">
        <v>116</v>
      </c>
      <c r="S427" t="s">
        <v>31</v>
      </c>
      <c r="T427" t="s">
        <v>31</v>
      </c>
      <c r="U427" t="s">
        <v>31</v>
      </c>
      <c r="V427" t="s">
        <v>31</v>
      </c>
    </row>
    <row r="428" spans="1:22" ht="12.75">
      <c r="A428">
        <v>2014</v>
      </c>
      <c r="B428" t="s">
        <v>112</v>
      </c>
      <c r="C428" t="s">
        <v>417</v>
      </c>
      <c r="D428">
        <f>HYPERLINK("https://www.amazon.com/exec/obidos/ASIN/B00N99FXIS","Chromebook 2")</f>
        <v>0</v>
      </c>
      <c r="E428" t="s">
        <v>93</v>
      </c>
      <c r="F428" t="s">
        <v>34</v>
      </c>
      <c r="G428" t="s">
        <v>346</v>
      </c>
      <c r="H428" t="s">
        <v>347</v>
      </c>
      <c r="I428">
        <v>2</v>
      </c>
      <c r="J428">
        <v>1148</v>
      </c>
      <c r="K428">
        <v>1667</v>
      </c>
      <c r="L428">
        <v>954</v>
      </c>
      <c r="M428">
        <v>8200</v>
      </c>
      <c r="N428" t="s">
        <v>52</v>
      </c>
      <c r="O428" t="s">
        <v>148</v>
      </c>
      <c r="P428" t="s">
        <v>100</v>
      </c>
      <c r="Q428" t="s">
        <v>418</v>
      </c>
      <c r="R428" t="s">
        <v>427</v>
      </c>
      <c r="S428" t="s">
        <v>30</v>
      </c>
      <c r="T428" t="s">
        <v>31</v>
      </c>
      <c r="U428" t="s">
        <v>30</v>
      </c>
      <c r="V428" t="s">
        <v>31</v>
      </c>
    </row>
    <row r="429" spans="1:22" ht="12.75">
      <c r="A429">
        <v>2014</v>
      </c>
      <c r="B429" t="s">
        <v>112</v>
      </c>
      <c r="C429" t="s">
        <v>417</v>
      </c>
      <c r="D429">
        <f>HYPERLINK("https://www.amazon.com/exec/obidos/ASIN/B00N99FV76","Chromebook 2")</f>
        <v>0</v>
      </c>
      <c r="E429" t="s">
        <v>93</v>
      </c>
      <c r="F429" t="s">
        <v>49</v>
      </c>
      <c r="G429" t="s">
        <v>346</v>
      </c>
      <c r="H429" t="s">
        <v>347</v>
      </c>
      <c r="I429">
        <v>2</v>
      </c>
      <c r="J429">
        <v>1148</v>
      </c>
      <c r="K429">
        <v>1667</v>
      </c>
      <c r="L429">
        <v>954</v>
      </c>
      <c r="M429">
        <v>8200</v>
      </c>
      <c r="N429" t="s">
        <v>339</v>
      </c>
      <c r="O429" t="s">
        <v>148</v>
      </c>
      <c r="P429" t="s">
        <v>157</v>
      </c>
      <c r="Q429" t="s">
        <v>418</v>
      </c>
      <c r="R429" t="s">
        <v>427</v>
      </c>
      <c r="S429" t="s">
        <v>31</v>
      </c>
      <c r="T429" t="s">
        <v>31</v>
      </c>
      <c r="U429" t="s">
        <v>30</v>
      </c>
      <c r="V429" t="s">
        <v>31</v>
      </c>
    </row>
    <row r="430" spans="1:22" ht="12.75">
      <c r="A430">
        <v>2013</v>
      </c>
      <c r="B430" t="s">
        <v>124</v>
      </c>
      <c r="C430" t="s">
        <v>23</v>
      </c>
      <c r="D430">
        <f>HYPERLINK("https://www.amazon.com/exec/obidos/ASIN/B00FNPD1VW","C720")</f>
        <v>0</v>
      </c>
      <c r="E430" t="s">
        <v>48</v>
      </c>
      <c r="F430" t="s">
        <v>49</v>
      </c>
      <c r="G430" t="s">
        <v>422</v>
      </c>
      <c r="H430" t="s">
        <v>423</v>
      </c>
      <c r="I430">
        <v>2</v>
      </c>
      <c r="J430">
        <v>1555</v>
      </c>
      <c r="K430">
        <v>2117</v>
      </c>
      <c r="L430">
        <v>1244</v>
      </c>
      <c r="M430">
        <v>11600</v>
      </c>
      <c r="N430" t="s">
        <v>250</v>
      </c>
      <c r="O430" t="s">
        <v>73</v>
      </c>
      <c r="P430" t="s">
        <v>341</v>
      </c>
      <c r="Q430" t="s">
        <v>119</v>
      </c>
      <c r="R430" t="s">
        <v>120</v>
      </c>
      <c r="S430" t="s">
        <v>31</v>
      </c>
      <c r="T430" t="s">
        <v>31</v>
      </c>
      <c r="U430" t="s">
        <v>31</v>
      </c>
      <c r="V430" t="s">
        <v>31</v>
      </c>
    </row>
    <row r="431" spans="1:22" ht="12.75">
      <c r="A431">
        <v>2013</v>
      </c>
      <c r="B431" t="s">
        <v>103</v>
      </c>
      <c r="C431" t="s">
        <v>23</v>
      </c>
      <c r="D431">
        <f>HYPERLINK("https://www.amazon.com/exec/obidos/ASIN/B00H7WF22K","C720P")</f>
        <v>0</v>
      </c>
      <c r="E431" t="s">
        <v>48</v>
      </c>
      <c r="F431" t="s">
        <v>49</v>
      </c>
      <c r="G431" t="s">
        <v>422</v>
      </c>
      <c r="H431" t="s">
        <v>423</v>
      </c>
      <c r="I431">
        <v>2</v>
      </c>
      <c r="J431">
        <v>1555</v>
      </c>
      <c r="K431">
        <v>2117</v>
      </c>
      <c r="L431">
        <v>1244</v>
      </c>
      <c r="M431">
        <v>11600</v>
      </c>
      <c r="N431" t="s">
        <v>250</v>
      </c>
      <c r="O431" t="s">
        <v>73</v>
      </c>
      <c r="P431" t="s">
        <v>436</v>
      </c>
      <c r="Q431" t="s">
        <v>229</v>
      </c>
      <c r="R431" t="s">
        <v>95</v>
      </c>
      <c r="S431" t="s">
        <v>31</v>
      </c>
      <c r="T431" t="s">
        <v>30</v>
      </c>
      <c r="U431" t="s">
        <v>31</v>
      </c>
      <c r="V431" t="s">
        <v>31</v>
      </c>
    </row>
    <row r="432" spans="1:22" ht="12.75">
      <c r="A432">
        <v>2013</v>
      </c>
      <c r="B432" t="s">
        <v>46</v>
      </c>
      <c r="C432" t="s">
        <v>206</v>
      </c>
      <c r="D432">
        <f>HYPERLINK("https://www.amazon.com/exec/obidos/ASIN/B00BM7Y7DQ","Pixel")</f>
        <v>0</v>
      </c>
      <c r="E432" t="s">
        <v>405</v>
      </c>
      <c r="F432" t="s">
        <v>406</v>
      </c>
      <c r="G432" t="s">
        <v>437</v>
      </c>
      <c r="H432" t="s">
        <v>45</v>
      </c>
      <c r="I432">
        <v>2</v>
      </c>
      <c r="J432">
        <v>3600</v>
      </c>
      <c r="K432">
        <v>4446</v>
      </c>
      <c r="L432">
        <v>2186</v>
      </c>
      <c r="M432">
        <v>20400</v>
      </c>
      <c r="N432" t="s">
        <v>52</v>
      </c>
      <c r="O432" t="s">
        <v>28</v>
      </c>
      <c r="P432" t="s">
        <v>438</v>
      </c>
      <c r="Q432" t="s">
        <v>439</v>
      </c>
      <c r="R432" t="s">
        <v>116</v>
      </c>
      <c r="S432" t="s">
        <v>30</v>
      </c>
      <c r="T432" t="s">
        <v>30</v>
      </c>
      <c r="U432" t="s">
        <v>31</v>
      </c>
      <c r="V432" t="s">
        <v>31</v>
      </c>
    </row>
    <row r="433" spans="1:22" ht="12.75">
      <c r="A433">
        <v>2013</v>
      </c>
      <c r="B433" t="s">
        <v>124</v>
      </c>
      <c r="C433" t="s">
        <v>64</v>
      </c>
      <c r="D433">
        <f>HYPERLINK("https://www.amazon.com/exec/obidos/ASIN/B00FJXVRM8","Chromebook 11")</f>
        <v>0</v>
      </c>
      <c r="E433" t="s">
        <v>48</v>
      </c>
      <c r="F433" t="s">
        <v>49</v>
      </c>
      <c r="G433" t="s">
        <v>426</v>
      </c>
      <c r="H433" t="s">
        <v>107</v>
      </c>
      <c r="I433">
        <v>2</v>
      </c>
      <c r="J433" t="s">
        <v>26</v>
      </c>
      <c r="K433">
        <v>1503</v>
      </c>
      <c r="L433">
        <v>870</v>
      </c>
      <c r="M433">
        <v>5800</v>
      </c>
      <c r="N433" t="s">
        <v>339</v>
      </c>
      <c r="O433" t="s">
        <v>148</v>
      </c>
      <c r="P433" t="s">
        <v>440</v>
      </c>
      <c r="Q433" t="s">
        <v>441</v>
      </c>
      <c r="R433" t="s">
        <v>264</v>
      </c>
      <c r="S433" t="s">
        <v>30</v>
      </c>
      <c r="T433" t="s">
        <v>31</v>
      </c>
      <c r="U433" t="s">
        <v>31</v>
      </c>
      <c r="V433" t="s">
        <v>31</v>
      </c>
    </row>
    <row r="434" spans="1:22" ht="12.75">
      <c r="A434">
        <v>2013</v>
      </c>
      <c r="B434" t="s">
        <v>124</v>
      </c>
      <c r="C434" t="s">
        <v>64</v>
      </c>
      <c r="D434">
        <f>HYPERLINK("https://www.amazon.com/exec/obidos/ASIN/B00FGOTC0Y","Chromebook 14")</f>
        <v>0</v>
      </c>
      <c r="E434" t="s">
        <v>33</v>
      </c>
      <c r="F434" t="s">
        <v>49</v>
      </c>
      <c r="G434" t="s">
        <v>422</v>
      </c>
      <c r="H434" t="s">
        <v>423</v>
      </c>
      <c r="I434">
        <v>2</v>
      </c>
      <c r="J434">
        <v>1555</v>
      </c>
      <c r="K434">
        <v>2117</v>
      </c>
      <c r="L434">
        <v>1244</v>
      </c>
      <c r="M434">
        <v>12000</v>
      </c>
      <c r="N434" t="s">
        <v>250</v>
      </c>
      <c r="O434" t="s">
        <v>148</v>
      </c>
      <c r="P434" t="s">
        <v>100</v>
      </c>
      <c r="Q434" t="s">
        <v>442</v>
      </c>
      <c r="R434" t="s">
        <v>254</v>
      </c>
      <c r="S434" t="s">
        <v>31</v>
      </c>
      <c r="T434" t="s">
        <v>31</v>
      </c>
      <c r="U434" t="s">
        <v>31</v>
      </c>
      <c r="V434" t="s">
        <v>31</v>
      </c>
    </row>
    <row r="435" spans="1:22" ht="12.75">
      <c r="A435">
        <v>2013</v>
      </c>
      <c r="B435" t="s">
        <v>46</v>
      </c>
      <c r="C435" t="s">
        <v>64</v>
      </c>
      <c r="D435">
        <f>HYPERLINK("https://www.amazon.com/exec/obidos/ASIN/B00CXFJPJC","Pavilion 14")</f>
        <v>0</v>
      </c>
      <c r="E435" t="s">
        <v>33</v>
      </c>
      <c r="F435" t="s">
        <v>49</v>
      </c>
      <c r="G435" t="s">
        <v>443</v>
      </c>
      <c r="H435" t="s">
        <v>51</v>
      </c>
      <c r="I435">
        <v>2</v>
      </c>
      <c r="J435">
        <v>982</v>
      </c>
      <c r="K435">
        <v>1565</v>
      </c>
      <c r="L435">
        <v>905</v>
      </c>
      <c r="M435">
        <v>7200</v>
      </c>
      <c r="N435" t="s">
        <v>250</v>
      </c>
      <c r="O435" t="s">
        <v>148</v>
      </c>
      <c r="P435" t="s">
        <v>444</v>
      </c>
      <c r="Q435" t="s">
        <v>445</v>
      </c>
      <c r="R435" t="s">
        <v>134</v>
      </c>
      <c r="S435" t="s">
        <v>31</v>
      </c>
      <c r="T435" t="s">
        <v>31</v>
      </c>
      <c r="U435" t="s">
        <v>31</v>
      </c>
      <c r="V435" t="s">
        <v>31</v>
      </c>
    </row>
    <row r="436" spans="1:22" ht="12.75">
      <c r="A436">
        <v>2013</v>
      </c>
      <c r="B436" t="s">
        <v>63</v>
      </c>
      <c r="C436" t="s">
        <v>84</v>
      </c>
      <c r="D436">
        <f>HYPERLINK("https://www.amazon.com/exec/obidos/ASIN/B00BQH8SDM","Thinkpad X131e")</f>
        <v>0</v>
      </c>
      <c r="E436" t="s">
        <v>48</v>
      </c>
      <c r="F436" t="s">
        <v>49</v>
      </c>
      <c r="G436" t="s">
        <v>446</v>
      </c>
      <c r="H436" t="s">
        <v>209</v>
      </c>
      <c r="I436">
        <v>2</v>
      </c>
      <c r="J436">
        <v>1460</v>
      </c>
      <c r="K436">
        <v>1989</v>
      </c>
      <c r="L436">
        <v>1178</v>
      </c>
      <c r="M436">
        <v>9800</v>
      </c>
      <c r="N436" t="s">
        <v>52</v>
      </c>
      <c r="O436" t="s">
        <v>148</v>
      </c>
      <c r="P436" t="s">
        <v>436</v>
      </c>
      <c r="Q436" t="s">
        <v>447</v>
      </c>
      <c r="R436" t="s">
        <v>448</v>
      </c>
      <c r="S436" t="s">
        <v>31</v>
      </c>
      <c r="T436" t="s">
        <v>31</v>
      </c>
      <c r="U436" t="s">
        <v>31</v>
      </c>
      <c r="V436" t="s">
        <v>31</v>
      </c>
    </row>
    <row r="437" spans="1:22" ht="12.75">
      <c r="A437">
        <v>2012</v>
      </c>
      <c r="B437" t="s">
        <v>103</v>
      </c>
      <c r="C437" t="s">
        <v>23</v>
      </c>
      <c r="D437">
        <f>HYPERLINK("https://www.amazon.com/exec/obidos/ASIN/B00BB9OXM0","C710 (2055)")</f>
        <v>0</v>
      </c>
      <c r="E437" t="s">
        <v>48</v>
      </c>
      <c r="F437" t="s">
        <v>49</v>
      </c>
      <c r="G437" t="s">
        <v>443</v>
      </c>
      <c r="H437" t="s">
        <v>51</v>
      </c>
      <c r="I437">
        <v>2</v>
      </c>
      <c r="J437">
        <v>982</v>
      </c>
      <c r="K437">
        <v>1565</v>
      </c>
      <c r="L437">
        <v>905</v>
      </c>
      <c r="M437">
        <v>7300</v>
      </c>
      <c r="N437" t="s">
        <v>52</v>
      </c>
      <c r="O437" t="s">
        <v>449</v>
      </c>
      <c r="P437" t="s">
        <v>440</v>
      </c>
      <c r="Q437" t="s">
        <v>187</v>
      </c>
      <c r="R437" t="s">
        <v>82</v>
      </c>
      <c r="S437" t="s">
        <v>31</v>
      </c>
      <c r="T437" t="s">
        <v>31</v>
      </c>
      <c r="U437" t="s">
        <v>31</v>
      </c>
      <c r="V437" t="s">
        <v>31</v>
      </c>
    </row>
    <row r="438" spans="1:22" ht="12.75">
      <c r="A438">
        <v>2012</v>
      </c>
      <c r="B438" t="s">
        <v>103</v>
      </c>
      <c r="C438" t="s">
        <v>23</v>
      </c>
      <c r="D438">
        <f>HYPERLINK("https://www.amazon.com/exec/obidos/ASIN/B00EKS33FC","C710 (2457)")</f>
        <v>0</v>
      </c>
      <c r="E438" t="s">
        <v>48</v>
      </c>
      <c r="F438" t="s">
        <v>49</v>
      </c>
      <c r="G438" t="s">
        <v>443</v>
      </c>
      <c r="H438" t="s">
        <v>51</v>
      </c>
      <c r="I438">
        <v>2</v>
      </c>
      <c r="J438">
        <v>982</v>
      </c>
      <c r="K438">
        <v>1565</v>
      </c>
      <c r="L438">
        <v>905</v>
      </c>
      <c r="M438">
        <v>7300</v>
      </c>
      <c r="N438" t="s">
        <v>52</v>
      </c>
      <c r="O438" t="s">
        <v>148</v>
      </c>
      <c r="P438" t="s">
        <v>450</v>
      </c>
      <c r="Q438" t="s">
        <v>238</v>
      </c>
      <c r="R438" t="s">
        <v>239</v>
      </c>
      <c r="S438" t="s">
        <v>31</v>
      </c>
      <c r="T438" t="s">
        <v>31</v>
      </c>
      <c r="U438" t="s">
        <v>31</v>
      </c>
      <c r="V438" t="s">
        <v>31</v>
      </c>
    </row>
    <row r="439" spans="1:22" ht="12.75">
      <c r="A439">
        <v>2012</v>
      </c>
      <c r="B439" t="s">
        <v>103</v>
      </c>
      <c r="C439" t="s">
        <v>23</v>
      </c>
      <c r="D439">
        <f>HYPERLINK("https://www.amazon.com/exec/obidos/ASIN/B00BB9OXK2","C710 (2487)")</f>
        <v>0</v>
      </c>
      <c r="E439" t="s">
        <v>48</v>
      </c>
      <c r="F439" t="s">
        <v>49</v>
      </c>
      <c r="G439" t="s">
        <v>443</v>
      </c>
      <c r="H439" t="s">
        <v>51</v>
      </c>
      <c r="I439">
        <v>2</v>
      </c>
      <c r="J439">
        <v>982</v>
      </c>
      <c r="K439">
        <v>1565</v>
      </c>
      <c r="L439">
        <v>905</v>
      </c>
      <c r="M439">
        <v>7300</v>
      </c>
      <c r="N439" t="s">
        <v>52</v>
      </c>
      <c r="O439" t="s">
        <v>449</v>
      </c>
      <c r="P439" t="s">
        <v>444</v>
      </c>
      <c r="Q439" t="s">
        <v>451</v>
      </c>
      <c r="R439" t="s">
        <v>352</v>
      </c>
      <c r="S439" t="s">
        <v>31</v>
      </c>
      <c r="T439" t="s">
        <v>31</v>
      </c>
      <c r="U439" t="s">
        <v>31</v>
      </c>
      <c r="V439" t="s">
        <v>31</v>
      </c>
    </row>
    <row r="440" spans="1:22" ht="12.75">
      <c r="A440">
        <v>2012</v>
      </c>
      <c r="B440" t="s">
        <v>103</v>
      </c>
      <c r="C440" t="s">
        <v>23</v>
      </c>
      <c r="D440">
        <f>HYPERLINK("https://www.amazon.com/exec/obidos/ASIN/B00D6WF80G","C710 (2833; 2856)")</f>
        <v>0</v>
      </c>
      <c r="E440" t="s">
        <v>48</v>
      </c>
      <c r="F440" t="s">
        <v>49</v>
      </c>
      <c r="G440" t="s">
        <v>443</v>
      </c>
      <c r="H440" t="s">
        <v>51</v>
      </c>
      <c r="I440">
        <v>2</v>
      </c>
      <c r="J440">
        <v>982</v>
      </c>
      <c r="K440">
        <v>1565</v>
      </c>
      <c r="L440">
        <v>905</v>
      </c>
      <c r="M440">
        <v>7300</v>
      </c>
      <c r="N440" t="s">
        <v>339</v>
      </c>
      <c r="O440" t="s">
        <v>148</v>
      </c>
      <c r="P440" t="s">
        <v>444</v>
      </c>
      <c r="Q440" t="s">
        <v>451</v>
      </c>
      <c r="R440" t="s">
        <v>352</v>
      </c>
      <c r="S440" t="s">
        <v>31</v>
      </c>
      <c r="T440" t="s">
        <v>31</v>
      </c>
      <c r="U440" t="s">
        <v>31</v>
      </c>
      <c r="V440" t="s">
        <v>31</v>
      </c>
    </row>
    <row r="441" spans="1:22" ht="12.75">
      <c r="A441">
        <v>2012</v>
      </c>
      <c r="B441" t="s">
        <v>103</v>
      </c>
      <c r="C441" t="s">
        <v>23</v>
      </c>
      <c r="D441">
        <f>HYPERLINK("https://www.amazon.com/exec/obidos/ASIN/B00EYTI0TG","C710 (2834)")</f>
        <v>0</v>
      </c>
      <c r="E441" t="s">
        <v>48</v>
      </c>
      <c r="F441" t="s">
        <v>49</v>
      </c>
      <c r="G441" t="s">
        <v>446</v>
      </c>
      <c r="H441" t="s">
        <v>209</v>
      </c>
      <c r="I441">
        <v>2</v>
      </c>
      <c r="J441">
        <v>1459</v>
      </c>
      <c r="K441">
        <v>1989</v>
      </c>
      <c r="L441">
        <v>1178</v>
      </c>
      <c r="M441">
        <v>10000</v>
      </c>
      <c r="N441" t="s">
        <v>339</v>
      </c>
      <c r="O441" t="s">
        <v>148</v>
      </c>
      <c r="P441" t="s">
        <v>444</v>
      </c>
      <c r="Q441" t="s">
        <v>451</v>
      </c>
      <c r="R441" t="s">
        <v>352</v>
      </c>
      <c r="S441" t="s">
        <v>31</v>
      </c>
      <c r="T441" t="s">
        <v>31</v>
      </c>
      <c r="U441" t="s">
        <v>31</v>
      </c>
      <c r="V441" t="s">
        <v>31</v>
      </c>
    </row>
    <row r="442" spans="1:22" ht="12.75">
      <c r="A442">
        <v>2012</v>
      </c>
      <c r="B442" t="s">
        <v>103</v>
      </c>
      <c r="C442" t="s">
        <v>23</v>
      </c>
      <c r="D442">
        <f>HYPERLINK("https://www.amazon.com/exec/obidos/ASIN/B00AG0BLWU","C710 (2847)")</f>
        <v>0</v>
      </c>
      <c r="E442" t="s">
        <v>48</v>
      </c>
      <c r="F442" t="s">
        <v>49</v>
      </c>
      <c r="G442" t="s">
        <v>443</v>
      </c>
      <c r="H442" t="s">
        <v>51</v>
      </c>
      <c r="I442">
        <v>2</v>
      </c>
      <c r="J442">
        <v>982</v>
      </c>
      <c r="K442">
        <v>1565</v>
      </c>
      <c r="L442">
        <v>905</v>
      </c>
      <c r="M442">
        <v>7300</v>
      </c>
      <c r="N442" t="s">
        <v>339</v>
      </c>
      <c r="O442" t="s">
        <v>449</v>
      </c>
      <c r="P442" t="s">
        <v>444</v>
      </c>
      <c r="Q442" t="s">
        <v>451</v>
      </c>
      <c r="R442" t="s">
        <v>352</v>
      </c>
      <c r="S442" t="s">
        <v>31</v>
      </c>
      <c r="T442" t="s">
        <v>31</v>
      </c>
      <c r="U442" t="s">
        <v>31</v>
      </c>
      <c r="V442" t="s">
        <v>31</v>
      </c>
    </row>
    <row r="443" spans="1:22" ht="12.75">
      <c r="A443">
        <v>2012</v>
      </c>
      <c r="B443" t="s">
        <v>124</v>
      </c>
      <c r="C443" t="s">
        <v>96</v>
      </c>
      <c r="D443">
        <f>HYPERLINK("https://www.amazon.com/exec/obidos/ASIN/B009LL9VDG","Series 3")</f>
        <v>0</v>
      </c>
      <c r="E443" t="s">
        <v>48</v>
      </c>
      <c r="F443" t="s">
        <v>49</v>
      </c>
      <c r="G443" t="s">
        <v>426</v>
      </c>
      <c r="H443" t="s">
        <v>107</v>
      </c>
      <c r="I443">
        <v>2</v>
      </c>
      <c r="J443" t="s">
        <v>26</v>
      </c>
      <c r="K443">
        <v>1503</v>
      </c>
      <c r="L443">
        <v>870</v>
      </c>
      <c r="M443">
        <v>5800</v>
      </c>
      <c r="N443" t="s">
        <v>339</v>
      </c>
      <c r="O443" t="s">
        <v>148</v>
      </c>
      <c r="P443" t="s">
        <v>452</v>
      </c>
      <c r="Q443" t="s">
        <v>40</v>
      </c>
      <c r="R443" t="s">
        <v>41</v>
      </c>
      <c r="S443" t="s">
        <v>31</v>
      </c>
      <c r="T443" t="s">
        <v>31</v>
      </c>
      <c r="U443" t="s">
        <v>31</v>
      </c>
      <c r="V443" t="s">
        <v>31</v>
      </c>
    </row>
    <row r="444" spans="1:22" ht="12.75">
      <c r="A444">
        <v>2012</v>
      </c>
      <c r="B444" t="s">
        <v>83</v>
      </c>
      <c r="C444" t="s">
        <v>96</v>
      </c>
      <c r="D444">
        <f>HYPERLINK("https://www.amazon.com/exec/obidos/ASIN/B007Y8DJAO","Series 5 550")</f>
        <v>0</v>
      </c>
      <c r="E444" t="s">
        <v>453</v>
      </c>
      <c r="F444" t="s">
        <v>308</v>
      </c>
      <c r="G444" t="s">
        <v>454</v>
      </c>
      <c r="H444" t="s">
        <v>185</v>
      </c>
      <c r="I444">
        <v>2</v>
      </c>
      <c r="J444">
        <v>1199</v>
      </c>
      <c r="K444">
        <v>1767</v>
      </c>
      <c r="L444">
        <v>1030</v>
      </c>
      <c r="M444">
        <v>9000</v>
      </c>
      <c r="N444" t="s">
        <v>52</v>
      </c>
      <c r="O444" t="s">
        <v>148</v>
      </c>
      <c r="P444" t="s">
        <v>452</v>
      </c>
      <c r="Q444" t="s">
        <v>331</v>
      </c>
      <c r="R444" t="s">
        <v>237</v>
      </c>
      <c r="S444" t="s">
        <v>31</v>
      </c>
      <c r="T444" t="s">
        <v>31</v>
      </c>
      <c r="U444" t="s">
        <v>31</v>
      </c>
      <c r="V444" t="s">
        <v>31</v>
      </c>
    </row>
    <row r="445" spans="1:22" ht="12.75">
      <c r="A445">
        <v>2011</v>
      </c>
      <c r="B445" t="s">
        <v>136</v>
      </c>
      <c r="C445" t="s">
        <v>23</v>
      </c>
      <c r="D445">
        <f>HYPERLINK("https://www.amazon.com/exec/obidos/ASIN/B00507ALBG","AC 700")</f>
        <v>0</v>
      </c>
      <c r="E445" t="s">
        <v>48</v>
      </c>
      <c r="F445" t="s">
        <v>49</v>
      </c>
      <c r="G445" t="s">
        <v>455</v>
      </c>
      <c r="H445" t="s">
        <v>456</v>
      </c>
      <c r="I445">
        <v>2</v>
      </c>
      <c r="J445">
        <v>595</v>
      </c>
      <c r="K445">
        <v>925</v>
      </c>
      <c r="L445">
        <v>383</v>
      </c>
      <c r="M445" t="s">
        <v>457</v>
      </c>
      <c r="N445" t="s">
        <v>339</v>
      </c>
      <c r="O445" t="s">
        <v>148</v>
      </c>
      <c r="P445" t="s">
        <v>440</v>
      </c>
      <c r="Q445" t="s">
        <v>187</v>
      </c>
      <c r="R445" t="s">
        <v>82</v>
      </c>
      <c r="S445" t="s">
        <v>31</v>
      </c>
      <c r="T445" t="s">
        <v>31</v>
      </c>
      <c r="U445" t="s">
        <v>31</v>
      </c>
      <c r="V445" t="s">
        <v>31</v>
      </c>
    </row>
    <row r="446" spans="1:22" ht="12.75">
      <c r="A446">
        <v>2011</v>
      </c>
      <c r="B446" t="s">
        <v>169</v>
      </c>
      <c r="C446" t="s">
        <v>206</v>
      </c>
      <c r="D446">
        <f>HYPERLINK("http://cr-48.wikispaces.com/","Cr-48")</f>
        <v>0</v>
      </c>
      <c r="E446" t="s">
        <v>453</v>
      </c>
      <c r="F446" t="s">
        <v>308</v>
      </c>
      <c r="G446" t="s">
        <v>458</v>
      </c>
      <c r="H446" t="s">
        <v>456</v>
      </c>
      <c r="I446">
        <v>1</v>
      </c>
      <c r="J446">
        <v>290</v>
      </c>
      <c r="K446">
        <v>502</v>
      </c>
      <c r="L446">
        <v>364</v>
      </c>
      <c r="M446" t="s">
        <v>457</v>
      </c>
      <c r="N446" t="s">
        <v>339</v>
      </c>
      <c r="O446" t="s">
        <v>148</v>
      </c>
      <c r="P446" t="s">
        <v>251</v>
      </c>
      <c r="Q446" t="s">
        <v>409</v>
      </c>
      <c r="R446" t="s">
        <v>129</v>
      </c>
      <c r="S446" t="s">
        <v>31</v>
      </c>
      <c r="T446" t="s">
        <v>31</v>
      </c>
      <c r="U446" t="s">
        <v>31</v>
      </c>
      <c r="V446" t="s">
        <v>31</v>
      </c>
    </row>
    <row r="447" spans="1:22" ht="12.75">
      <c r="A447">
        <v>2011</v>
      </c>
      <c r="B447" t="s">
        <v>92</v>
      </c>
      <c r="C447" t="s">
        <v>96</v>
      </c>
      <c r="D447">
        <f>HYPERLINK("https://www.amazon.com/exec/obidos/ASIN/B004Z6NU70","Series 5")</f>
        <v>0</v>
      </c>
      <c r="E447" t="s">
        <v>453</v>
      </c>
      <c r="F447" t="s">
        <v>308</v>
      </c>
      <c r="G447" t="s">
        <v>455</v>
      </c>
      <c r="H447" t="s">
        <v>456</v>
      </c>
      <c r="I447">
        <v>2</v>
      </c>
      <c r="J447">
        <v>595</v>
      </c>
      <c r="K447">
        <v>925</v>
      </c>
      <c r="L447">
        <v>383</v>
      </c>
      <c r="M447" t="s">
        <v>457</v>
      </c>
      <c r="N447" t="s">
        <v>339</v>
      </c>
      <c r="O447" t="s">
        <v>148</v>
      </c>
      <c r="P447" t="s">
        <v>440</v>
      </c>
      <c r="Q447" t="s">
        <v>459</v>
      </c>
      <c r="R447" t="s">
        <v>352</v>
      </c>
      <c r="S447" t="s">
        <v>31</v>
      </c>
      <c r="T447" t="s">
        <v>31</v>
      </c>
      <c r="U447" t="s">
        <v>31</v>
      </c>
      <c r="V447" t="s">
        <v>31</v>
      </c>
    </row>
    <row r="449" ht="12.75">
      <c r="D449" t="s">
        <v>460</v>
      </c>
    </row>
    <row r="451" ht="12.75">
      <c r="D451" t="s">
        <v>461</v>
      </c>
    </row>
    <row r="452" ht="12.75">
      <c r="D452" t="s">
        <v>462</v>
      </c>
    </row>
    <row r="454" ht="12.75">
      <c r="D454" t="s">
        <v>463</v>
      </c>
    </row>
    <row r="456" ht="12.75">
      <c r="D456">
        <f>HYPERLINK("https://zipso.net/chromebook-specs-comparison-table/","Source: Zipso.net comparison chart")</f>
        <v>0</v>
      </c>
    </row>
    <row r="457" ht="12.75">
      <c r="D457" t="s">
        <v>464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